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defaultThemeVersion="124226"/>
  <bookViews>
    <workbookView xWindow="0" yWindow="0" windowWidth="2040" windowHeight="1185" firstSheet="5" activeTab="5"/>
  </bookViews>
  <sheets>
    <sheet name="Kangatang" sheetId="7" state="veryHidden" r:id="rId1"/>
    <sheet name="foxz" sheetId="8" state="hidden" r:id="rId2"/>
    <sheet name="foxz_2" sheetId="9" state="veryHidden" r:id="rId3"/>
    <sheet name="foxz_3" sheetId="11" state="veryHidden" r:id="rId4"/>
    <sheet name="foxz_4" sheetId="12" state="veryHidden" r:id=""/>
    <sheet name="Toàn bộ" sheetId="10" r:id="rId5"/>
    <sheet name="Phu Thuong" sheetId="5" r:id="rId6"/>
    <sheet name="Vy Da" sheetId="3" r:id="rId7"/>
  </sheets>
  <definedNames>
    <definedName name="_xlnm._FilterDatabase" localSheetId="6" hidden="1">'Phu Thuong'!$A$5:$O$1090</definedName>
    <definedName name="_xlnm._FilterDatabase" localSheetId="5" hidden="1">'Toàn bộ'!$A$5:$O$1444</definedName>
    <definedName name="_xlnm._FilterDatabase" localSheetId="7" hidden="1">'Vy Da'!$A$5:$O$360</definedName>
    <definedName name="_xlnm.Print_Area" localSheetId="6">'Phu Thuong'!$A$1:$J$1092</definedName>
    <definedName name="_xlnm.Print_Area" localSheetId="5">'Toàn bộ'!$A$1:$J$1445</definedName>
    <definedName name="_xlnm.Print_Area" localSheetId="7">'Vy Da'!$A$1:$J$360</definedName>
  </definedNames>
  <calcPr calcId="144525"/>
</workbook>
</file>

<file path=xl/calcChain.xml><?xml version="1.0" encoding="utf-8"?>
<calcChain xmlns="http://schemas.openxmlformats.org/spreadsheetml/2006/main">
  <c r="K8" i="10" l="1"/>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2" i="10"/>
  <c r="K93" i="10"/>
  <c r="K94" i="10"/>
  <c r="K95" i="10"/>
  <c r="K96" i="10"/>
  <c r="K97" i="10"/>
  <c r="K98" i="10"/>
  <c r="K99" i="10"/>
  <c r="K100" i="10"/>
  <c r="K101" i="10"/>
  <c r="K102" i="10"/>
  <c r="K103" i="10"/>
  <c r="K104" i="10"/>
  <c r="K105" i="10"/>
  <c r="K106" i="10"/>
  <c r="K107" i="10"/>
  <c r="K108" i="10"/>
  <c r="K109" i="10"/>
  <c r="K111" i="10"/>
  <c r="K112" i="10"/>
  <c r="K113" i="10"/>
  <c r="K114" i="10"/>
  <c r="K115" i="10"/>
  <c r="K116" i="10"/>
  <c r="K117" i="10"/>
  <c r="K118" i="10"/>
  <c r="K119" i="10"/>
  <c r="K120" i="10"/>
  <c r="K121" i="10"/>
  <c r="K122" i="10"/>
  <c r="K123" i="10"/>
  <c r="K124" i="10"/>
  <c r="K125" i="10"/>
  <c r="K126" i="10"/>
  <c r="K127" i="10"/>
  <c r="K128" i="10"/>
  <c r="K129" i="10"/>
  <c r="K130" i="10"/>
  <c r="K131" i="10"/>
  <c r="K132" i="10"/>
  <c r="K133" i="10"/>
  <c r="K135" i="10"/>
  <c r="K136" i="10"/>
  <c r="K137" i="10"/>
  <c r="K138" i="10"/>
  <c r="K139" i="10"/>
  <c r="K140" i="10"/>
  <c r="K141" i="10"/>
  <c r="K142" i="10"/>
  <c r="K143" i="10"/>
  <c r="K144" i="10"/>
  <c r="K145" i="10"/>
  <c r="K146" i="10"/>
  <c r="K147" i="10"/>
  <c r="K148" i="10"/>
  <c r="K149" i="10"/>
  <c r="K150" i="10"/>
  <c r="K151" i="10"/>
  <c r="K152" i="10"/>
  <c r="K153" i="10"/>
  <c r="K154" i="10"/>
  <c r="K156" i="10"/>
  <c r="K157" i="10"/>
  <c r="K158" i="10"/>
  <c r="K159" i="10"/>
  <c r="K160" i="10"/>
  <c r="K161" i="10"/>
  <c r="K162" i="10"/>
  <c r="K163" i="10"/>
  <c r="K164" i="10"/>
  <c r="K165" i="10"/>
  <c r="K166" i="10"/>
  <c r="K167" i="10"/>
  <c r="K168" i="10"/>
  <c r="K170" i="10"/>
  <c r="K171" i="10"/>
  <c r="K172" i="10"/>
  <c r="K173" i="10"/>
  <c r="K174" i="10"/>
  <c r="K175" i="10"/>
  <c r="K176" i="10"/>
  <c r="K177" i="10"/>
  <c r="K178" i="10"/>
  <c r="K179" i="10"/>
  <c r="K180" i="10"/>
  <c r="K181" i="10"/>
  <c r="K182" i="10"/>
  <c r="K183" i="10"/>
  <c r="K184" i="10"/>
  <c r="K185" i="10"/>
  <c r="K186" i="10"/>
  <c r="K187" i="10"/>
  <c r="K188" i="10"/>
  <c r="K190" i="10"/>
  <c r="K191" i="10"/>
  <c r="K192" i="10"/>
  <c r="K193" i="10"/>
  <c r="K194" i="10"/>
  <c r="K195" i="10"/>
  <c r="K196" i="10"/>
  <c r="K197" i="10"/>
  <c r="K198" i="10"/>
  <c r="K199" i="10"/>
  <c r="K200" i="10"/>
  <c r="K202" i="10"/>
  <c r="K203" i="10"/>
  <c r="K204" i="10"/>
  <c r="K205" i="10"/>
  <c r="K206" i="10"/>
  <c r="K207" i="10"/>
  <c r="K208" i="10"/>
  <c r="K209" i="10"/>
  <c r="K210" i="10"/>
  <c r="K211" i="10"/>
  <c r="K213" i="10"/>
  <c r="K214" i="10"/>
  <c r="K215" i="10"/>
  <c r="K216" i="10"/>
  <c r="K217" i="10"/>
  <c r="K218" i="10"/>
  <c r="K219" i="10"/>
  <c r="K220" i="10"/>
  <c r="K221" i="10"/>
  <c r="K222" i="10"/>
  <c r="K223" i="10"/>
  <c r="K224" i="10"/>
  <c r="K225" i="10"/>
  <c r="K226" i="10"/>
  <c r="K227" i="10"/>
  <c r="K228" i="10"/>
  <c r="K229" i="10"/>
  <c r="K230" i="10"/>
  <c r="K231" i="10"/>
  <c r="K232" i="10"/>
  <c r="K234" i="10"/>
  <c r="K235" i="10"/>
  <c r="K236" i="10"/>
  <c r="K237" i="10"/>
  <c r="K238" i="10"/>
  <c r="K239" i="10"/>
  <c r="K240" i="10"/>
  <c r="K241" i="10"/>
  <c r="K242" i="10"/>
  <c r="K243" i="10"/>
  <c r="K244" i="10"/>
  <c r="K245" i="10"/>
  <c r="K246" i="10"/>
  <c r="K247" i="10"/>
  <c r="K248" i="10"/>
  <c r="K250" i="10"/>
  <c r="K251" i="10"/>
  <c r="K252" i="10"/>
  <c r="K253" i="10"/>
  <c r="K254" i="10"/>
  <c r="K255" i="10"/>
  <c r="K256" i="10"/>
  <c r="K257" i="10"/>
  <c r="K259" i="10"/>
  <c r="K260" i="10"/>
  <c r="K261" i="10"/>
  <c r="K262" i="10"/>
  <c r="K263" i="10"/>
  <c r="K264" i="10"/>
  <c r="K265" i="10"/>
  <c r="K266" i="10"/>
  <c r="K267" i="10"/>
  <c r="K268" i="10"/>
  <c r="K269" i="10"/>
  <c r="K270" i="10"/>
  <c r="K271" i="10"/>
  <c r="K272" i="10"/>
  <c r="K273" i="10"/>
  <c r="K275" i="10"/>
  <c r="K276" i="10"/>
  <c r="K277" i="10"/>
  <c r="K278" i="10"/>
  <c r="K279" i="10"/>
  <c r="K281" i="10"/>
  <c r="K282" i="10"/>
  <c r="K283" i="10"/>
  <c r="K284" i="10"/>
  <c r="K285" i="10"/>
  <c r="K286" i="10"/>
  <c r="K287" i="10"/>
  <c r="K288" i="10"/>
  <c r="K289" i="10"/>
  <c r="K290" i="10"/>
  <c r="K291" i="10"/>
  <c r="K292" i="10"/>
  <c r="K293" i="10"/>
  <c r="K294" i="10"/>
  <c r="K295" i="10"/>
  <c r="K296" i="10"/>
  <c r="K298" i="10"/>
  <c r="K299" i="10"/>
  <c r="K300" i="10"/>
  <c r="K301" i="10"/>
  <c r="K302" i="10"/>
  <c r="K303" i="10"/>
  <c r="K304" i="10"/>
  <c r="K305" i="10"/>
  <c r="K306" i="10"/>
  <c r="K307" i="10"/>
  <c r="K308" i="10"/>
  <c r="K310" i="10"/>
  <c r="K311" i="10"/>
  <c r="K312" i="10"/>
  <c r="K313" i="10"/>
  <c r="K314" i="10"/>
  <c r="K315" i="10"/>
  <c r="K316" i="10"/>
  <c r="K317" i="10"/>
  <c r="K318" i="10"/>
  <c r="K319" i="10"/>
  <c r="K320" i="10"/>
  <c r="K321" i="10"/>
  <c r="K322" i="10"/>
  <c r="K323" i="10"/>
  <c r="K324" i="10"/>
  <c r="K325" i="10"/>
  <c r="K326" i="10"/>
  <c r="K328" i="10"/>
  <c r="K329" i="10"/>
  <c r="K330" i="10"/>
  <c r="K331" i="10"/>
  <c r="K332" i="10"/>
  <c r="K333" i="10"/>
  <c r="K334" i="10"/>
  <c r="K335" i="10"/>
  <c r="K336" i="10"/>
  <c r="K337" i="10"/>
  <c r="K338" i="10"/>
  <c r="K339" i="10"/>
  <c r="K340" i="10"/>
  <c r="K342" i="10"/>
  <c r="K343" i="10"/>
  <c r="K344" i="10"/>
  <c r="K345" i="10"/>
  <c r="K346" i="10"/>
  <c r="K347" i="10"/>
  <c r="K348" i="10"/>
  <c r="K349" i="10"/>
  <c r="K350" i="10"/>
  <c r="K351" i="10"/>
  <c r="K352" i="10"/>
  <c r="K353" i="10"/>
  <c r="K354" i="10"/>
  <c r="K355" i="10"/>
  <c r="K356" i="10"/>
  <c r="K357" i="10"/>
  <c r="K358" i="10"/>
  <c r="K359" i="10"/>
  <c r="K360" i="10"/>
  <c r="K361" i="10"/>
  <c r="K362" i="10"/>
  <c r="K363" i="10"/>
  <c r="K365" i="10"/>
  <c r="K366" i="10"/>
  <c r="K367" i="10"/>
  <c r="K368" i="10"/>
  <c r="K369" i="10"/>
  <c r="K370" i="10"/>
  <c r="K371" i="10"/>
  <c r="K372" i="10"/>
  <c r="K373" i="10"/>
  <c r="K374" i="10"/>
  <c r="K375" i="10"/>
  <c r="K376" i="10"/>
  <c r="K377" i="10"/>
  <c r="K378" i="10"/>
  <c r="K379" i="10"/>
  <c r="K380" i="10"/>
  <c r="K381" i="10"/>
  <c r="K382" i="10"/>
  <c r="K383" i="10"/>
  <c r="K384" i="10"/>
  <c r="K385" i="10"/>
  <c r="K386" i="10"/>
  <c r="K387" i="10"/>
  <c r="K388" i="10"/>
  <c r="K389" i="10"/>
  <c r="K390" i="10"/>
  <c r="K391" i="10"/>
  <c r="K392" i="10"/>
  <c r="K393" i="10"/>
  <c r="K394" i="10"/>
  <c r="K395" i="10"/>
  <c r="K396" i="10"/>
  <c r="K397" i="10"/>
  <c r="K398" i="10"/>
  <c r="K399" i="10"/>
  <c r="K400" i="10"/>
  <c r="K401" i="10"/>
  <c r="K402" i="10"/>
  <c r="K403" i="10"/>
  <c r="K404" i="10"/>
  <c r="K405" i="10"/>
  <c r="K406" i="10"/>
  <c r="K407" i="10"/>
  <c r="K408" i="10"/>
  <c r="K409" i="10"/>
  <c r="K410" i="10"/>
  <c r="K411" i="10"/>
  <c r="K412" i="10"/>
  <c r="K413" i="10"/>
  <c r="K414" i="10"/>
  <c r="K415" i="10"/>
  <c r="K416" i="10"/>
  <c r="K417" i="10"/>
  <c r="K418" i="10"/>
  <c r="K419" i="10"/>
  <c r="K420" i="10"/>
  <c r="K421" i="10"/>
  <c r="K422" i="10"/>
  <c r="K423" i="10"/>
  <c r="K424" i="10"/>
  <c r="K425" i="10"/>
  <c r="K426" i="10"/>
  <c r="K427" i="10"/>
  <c r="K428" i="10"/>
  <c r="K429" i="10"/>
  <c r="K430" i="10"/>
  <c r="K431" i="10"/>
  <c r="K432" i="10"/>
  <c r="K433" i="10"/>
  <c r="K434" i="10"/>
  <c r="K435" i="10"/>
  <c r="K436" i="10"/>
  <c r="K437" i="10"/>
  <c r="K438" i="10"/>
  <c r="K439" i="10"/>
  <c r="K440" i="10"/>
  <c r="K441" i="10"/>
  <c r="K442" i="10"/>
  <c r="K443" i="10"/>
  <c r="K444" i="10"/>
  <c r="K445" i="10"/>
  <c r="K446" i="10"/>
  <c r="K447" i="10"/>
  <c r="K448" i="10"/>
  <c r="K449" i="10"/>
  <c r="K450" i="10"/>
  <c r="K451" i="10"/>
  <c r="K452" i="10"/>
  <c r="K453" i="10"/>
  <c r="K454" i="10"/>
  <c r="K455" i="10"/>
  <c r="K456" i="10"/>
  <c r="K457" i="10"/>
  <c r="K458" i="10"/>
  <c r="K459" i="10"/>
  <c r="K460" i="10"/>
  <c r="K461" i="10"/>
  <c r="K462" i="10"/>
  <c r="K463" i="10"/>
  <c r="K464" i="10"/>
  <c r="K465" i="10"/>
  <c r="K466" i="10"/>
  <c r="K467" i="10"/>
  <c r="K468" i="10"/>
  <c r="K469" i="10"/>
  <c r="K470" i="10"/>
  <c r="K471" i="10"/>
  <c r="K472" i="10"/>
  <c r="K474" i="10"/>
  <c r="K475" i="10"/>
  <c r="K476" i="10"/>
  <c r="K477" i="10"/>
  <c r="K478" i="10"/>
  <c r="K479" i="10"/>
  <c r="K480" i="10"/>
  <c r="K481" i="10"/>
  <c r="K482" i="10"/>
  <c r="K483" i="10"/>
  <c r="K484" i="10"/>
  <c r="K485" i="10"/>
  <c r="K486" i="10"/>
  <c r="K487" i="10"/>
  <c r="K488" i="10"/>
  <c r="K489" i="10"/>
  <c r="K490" i="10"/>
  <c r="K491" i="10"/>
  <c r="K492" i="10"/>
  <c r="K493" i="10"/>
  <c r="K494" i="10"/>
  <c r="K495" i="10"/>
  <c r="K496" i="10"/>
  <c r="K497" i="10"/>
  <c r="K498" i="10"/>
  <c r="K499" i="10"/>
  <c r="K500" i="10"/>
  <c r="K501" i="10"/>
  <c r="K502" i="10"/>
  <c r="K503" i="10"/>
  <c r="K504" i="10"/>
  <c r="K505" i="10"/>
  <c r="K506" i="10"/>
  <c r="K507" i="10"/>
  <c r="K508" i="10"/>
  <c r="K509" i="10"/>
  <c r="K510" i="10"/>
  <c r="K511" i="10"/>
  <c r="K512" i="10"/>
  <c r="K513" i="10"/>
  <c r="K514" i="10"/>
  <c r="K516" i="10"/>
  <c r="K517" i="10"/>
  <c r="K518" i="10"/>
  <c r="K519" i="10"/>
  <c r="K520" i="10"/>
  <c r="K521" i="10"/>
  <c r="K522" i="10"/>
  <c r="K523" i="10"/>
  <c r="K524" i="10"/>
  <c r="K526" i="10"/>
  <c r="K527" i="10"/>
  <c r="K528" i="10"/>
  <c r="K529" i="10"/>
  <c r="K530" i="10"/>
  <c r="K531" i="10"/>
  <c r="K532" i="10"/>
  <c r="K533" i="10"/>
  <c r="K534" i="10"/>
  <c r="K535" i="10"/>
  <c r="K536" i="10"/>
  <c r="K538" i="10"/>
  <c r="K539" i="10"/>
  <c r="K540" i="10"/>
  <c r="K541" i="10"/>
  <c r="K542" i="10"/>
  <c r="K543" i="10"/>
  <c r="K544" i="10"/>
  <c r="K545" i="10"/>
  <c r="K546" i="10"/>
  <c r="K547" i="10"/>
  <c r="K548" i="10"/>
  <c r="K549" i="10"/>
  <c r="K550" i="10"/>
  <c r="K551" i="10"/>
  <c r="K552" i="10"/>
  <c r="K553" i="10"/>
  <c r="K554" i="10"/>
  <c r="K555" i="10"/>
  <c r="K557" i="10"/>
  <c r="K558" i="10"/>
  <c r="K559" i="10"/>
  <c r="K560" i="10"/>
  <c r="K561" i="10"/>
  <c r="K562" i="10"/>
  <c r="K563" i="10"/>
  <c r="K564" i="10"/>
  <c r="K565" i="10"/>
  <c r="K566" i="10"/>
  <c r="K567" i="10"/>
  <c r="K568" i="10"/>
  <c r="K569" i="10"/>
  <c r="K570" i="10"/>
  <c r="K571" i="10"/>
  <c r="K572" i="10"/>
  <c r="K573" i="10"/>
  <c r="K574" i="10"/>
  <c r="K575" i="10"/>
  <c r="K576" i="10"/>
  <c r="K577" i="10"/>
  <c r="K578" i="10"/>
  <c r="K579" i="10"/>
  <c r="K580" i="10"/>
  <c r="K582" i="10"/>
  <c r="K583" i="10"/>
  <c r="K584" i="10"/>
  <c r="K585" i="10"/>
  <c r="K586" i="10"/>
  <c r="K587" i="10"/>
  <c r="K588" i="10"/>
  <c r="K589" i="10"/>
  <c r="K590" i="10"/>
  <c r="K591" i="10"/>
  <c r="K592" i="10"/>
  <c r="K594" i="10"/>
  <c r="K595" i="10"/>
  <c r="K596" i="10"/>
  <c r="K597" i="10"/>
  <c r="K598" i="10"/>
  <c r="K599" i="10"/>
  <c r="K600" i="10"/>
  <c r="K601" i="10"/>
  <c r="K602" i="10"/>
  <c r="K603" i="10"/>
  <c r="K604" i="10"/>
  <c r="K605" i="10"/>
  <c r="K606" i="10"/>
  <c r="K607" i="10"/>
  <c r="K608" i="10"/>
  <c r="K609" i="10"/>
  <c r="K610" i="10"/>
  <c r="K611" i="10"/>
  <c r="K612" i="10"/>
  <c r="K613" i="10"/>
  <c r="K614" i="10"/>
  <c r="K616" i="10"/>
  <c r="K617" i="10"/>
  <c r="K618" i="10"/>
  <c r="K619" i="10"/>
  <c r="K620" i="10"/>
  <c r="K621" i="10"/>
  <c r="K622" i="10"/>
  <c r="K623" i="10"/>
  <c r="K624" i="10"/>
  <c r="K625" i="10"/>
  <c r="K626" i="10"/>
  <c r="K627" i="10"/>
  <c r="K628" i="10"/>
  <c r="K629" i="10"/>
  <c r="K630" i="10"/>
  <c r="K631" i="10"/>
  <c r="K632" i="10"/>
  <c r="K634" i="10"/>
  <c r="K635" i="10"/>
  <c r="K636" i="10"/>
  <c r="K637" i="10"/>
  <c r="K638" i="10"/>
  <c r="K639" i="10"/>
  <c r="K640" i="10"/>
  <c r="K641" i="10"/>
  <c r="K642" i="10"/>
  <c r="K643" i="10"/>
  <c r="K645" i="10"/>
  <c r="K646" i="10"/>
  <c r="K647" i="10"/>
  <c r="K648" i="10"/>
  <c r="K649" i="10"/>
  <c r="K650" i="10"/>
  <c r="K651" i="10"/>
  <c r="K652" i="10"/>
  <c r="K653" i="10"/>
  <c r="K654" i="10"/>
  <c r="K655" i="10"/>
  <c r="K656" i="10"/>
  <c r="K657" i="10"/>
  <c r="K658" i="10"/>
  <c r="K659" i="10"/>
  <c r="K660" i="10"/>
  <c r="K661" i="10"/>
  <c r="K662" i="10"/>
  <c r="K663" i="10"/>
  <c r="K664" i="10"/>
  <c r="K665" i="10"/>
  <c r="K667" i="10"/>
  <c r="K669" i="10"/>
  <c r="K670" i="10"/>
  <c r="K671" i="10"/>
  <c r="K672" i="10"/>
  <c r="K673" i="10"/>
  <c r="K674" i="10"/>
  <c r="K675" i="10"/>
  <c r="K676" i="10"/>
  <c r="K677" i="10"/>
  <c r="K678" i="10"/>
  <c r="K680" i="10"/>
  <c r="K681" i="10"/>
  <c r="K682" i="10"/>
  <c r="K683" i="10"/>
  <c r="K684" i="10"/>
  <c r="K685" i="10"/>
  <c r="K686" i="10"/>
  <c r="K687" i="10"/>
  <c r="K688" i="10"/>
  <c r="K689" i="10"/>
  <c r="K690" i="10"/>
  <c r="K692" i="10"/>
  <c r="K693" i="10"/>
  <c r="K694" i="10"/>
  <c r="K695" i="10"/>
  <c r="K696" i="10"/>
  <c r="K697" i="10"/>
  <c r="K698" i="10"/>
  <c r="K700" i="10"/>
  <c r="K701" i="10"/>
  <c r="K702" i="10"/>
  <c r="K703" i="10"/>
  <c r="K704" i="10"/>
  <c r="K705" i="10"/>
  <c r="K706" i="10"/>
  <c r="K707" i="10"/>
  <c r="K708" i="10"/>
  <c r="K709" i="10"/>
  <c r="K710" i="10"/>
  <c r="K711" i="10"/>
  <c r="K712" i="10"/>
  <c r="K713" i="10"/>
  <c r="K714" i="10"/>
  <c r="K715" i="10"/>
  <c r="K716" i="10"/>
  <c r="K717" i="10"/>
  <c r="K718" i="10"/>
  <c r="K719" i="10"/>
  <c r="K720" i="10"/>
  <c r="K721" i="10"/>
  <c r="K722" i="10"/>
  <c r="K724" i="10"/>
  <c r="K725" i="10"/>
  <c r="K726" i="10"/>
  <c r="K727" i="10"/>
  <c r="K728" i="10"/>
  <c r="K729" i="10"/>
  <c r="K730" i="10"/>
  <c r="K731" i="10"/>
  <c r="K732" i="10"/>
  <c r="K733" i="10"/>
  <c r="K734" i="10"/>
  <c r="K735" i="10"/>
  <c r="K736" i="10"/>
  <c r="K737" i="10"/>
  <c r="K738" i="10"/>
  <c r="K739" i="10"/>
  <c r="K740" i="10"/>
  <c r="K741" i="10"/>
  <c r="K742" i="10"/>
  <c r="K743" i="10"/>
  <c r="K744" i="10"/>
  <c r="K746" i="10"/>
  <c r="K747" i="10"/>
  <c r="K748" i="10"/>
  <c r="K749" i="10"/>
  <c r="K750" i="10"/>
  <c r="K751" i="10"/>
  <c r="K752" i="10"/>
  <c r="K753" i="10"/>
  <c r="K754" i="10"/>
  <c r="K755" i="10"/>
  <c r="K756" i="10"/>
  <c r="K757" i="10"/>
  <c r="K759" i="10"/>
  <c r="K760" i="10"/>
  <c r="K761" i="10"/>
  <c r="K762" i="10"/>
  <c r="K763" i="10"/>
  <c r="K765" i="10"/>
  <c r="K766" i="10"/>
  <c r="K767" i="10"/>
  <c r="K768" i="10"/>
  <c r="K769" i="10"/>
  <c r="K770" i="10"/>
  <c r="K771" i="10"/>
  <c r="K772" i="10"/>
  <c r="K773" i="10"/>
  <c r="K774" i="10"/>
  <c r="K775" i="10"/>
  <c r="K777" i="10"/>
  <c r="K778" i="10"/>
  <c r="K779" i="10"/>
  <c r="K780" i="10"/>
  <c r="K781" i="10"/>
  <c r="K782" i="10"/>
  <c r="K784" i="10"/>
  <c r="K785" i="10"/>
  <c r="K786" i="10"/>
  <c r="K787" i="10"/>
  <c r="K788" i="10"/>
  <c r="K789" i="10"/>
  <c r="K790" i="10"/>
  <c r="K792" i="10"/>
  <c r="K793" i="10"/>
  <c r="K794" i="10"/>
  <c r="K795" i="10"/>
  <c r="K796" i="10"/>
  <c r="K798" i="10"/>
  <c r="K799" i="10"/>
  <c r="K800" i="10"/>
  <c r="K801" i="10"/>
  <c r="K802" i="10"/>
  <c r="K803" i="10"/>
  <c r="K804" i="10"/>
  <c r="K805" i="10"/>
  <c r="K806" i="10"/>
  <c r="K807" i="10"/>
  <c r="K808" i="10"/>
  <c r="K809" i="10"/>
  <c r="K810" i="10"/>
  <c r="K811" i="10"/>
  <c r="K812" i="10"/>
  <c r="K813" i="10"/>
  <c r="K815" i="10"/>
  <c r="K816" i="10"/>
  <c r="K817" i="10"/>
  <c r="K818" i="10"/>
  <c r="K819" i="10"/>
  <c r="K820" i="10"/>
  <c r="K821" i="10"/>
  <c r="K822" i="10"/>
  <c r="K823" i="10"/>
  <c r="K825" i="10"/>
  <c r="K826" i="10"/>
  <c r="K827" i="10"/>
  <c r="K828" i="10"/>
  <c r="K829" i="10"/>
  <c r="K830" i="10"/>
  <c r="K831" i="10"/>
  <c r="K832" i="10"/>
  <c r="K833" i="10"/>
  <c r="K834" i="10"/>
  <c r="K835" i="10"/>
  <c r="K836" i="10"/>
  <c r="K838" i="10"/>
  <c r="K839" i="10"/>
  <c r="K840" i="10"/>
  <c r="K841" i="10"/>
  <c r="K842" i="10"/>
  <c r="K843" i="10"/>
  <c r="K844" i="10"/>
  <c r="K845" i="10"/>
  <c r="K846" i="10"/>
  <c r="K847" i="10"/>
  <c r="K849" i="10"/>
  <c r="K850" i="10"/>
  <c r="K851" i="10"/>
  <c r="K852" i="10"/>
  <c r="K853" i="10"/>
  <c r="K854" i="10"/>
  <c r="K855" i="10"/>
  <c r="K856" i="10"/>
  <c r="K857" i="10"/>
  <c r="K858" i="10"/>
  <c r="K859" i="10"/>
  <c r="K860" i="10"/>
  <c r="K861" i="10"/>
  <c r="K862" i="10"/>
  <c r="K863" i="10"/>
  <c r="K864" i="10"/>
  <c r="K865" i="10"/>
  <c r="K866" i="10"/>
  <c r="K868" i="10"/>
  <c r="K869" i="10"/>
  <c r="K870" i="10"/>
  <c r="K871" i="10"/>
  <c r="K872" i="10"/>
  <c r="K873" i="10"/>
  <c r="K874" i="10"/>
  <c r="K875" i="10"/>
  <c r="K876" i="10"/>
  <c r="K877" i="10"/>
  <c r="K879" i="10"/>
  <c r="K880" i="10"/>
  <c r="K881" i="10"/>
  <c r="K882" i="10"/>
  <c r="K883" i="10"/>
  <c r="K884" i="10"/>
  <c r="K885" i="10"/>
  <c r="K886" i="10"/>
  <c r="K887" i="10"/>
  <c r="K888" i="10"/>
  <c r="K889" i="10"/>
  <c r="K890" i="10"/>
  <c r="K891" i="10"/>
  <c r="K892" i="10"/>
  <c r="K893" i="10"/>
  <c r="K894" i="10"/>
  <c r="K895" i="10"/>
  <c r="K896" i="10"/>
  <c r="K897" i="10"/>
  <c r="K899" i="10"/>
  <c r="K900" i="10"/>
  <c r="K901" i="10"/>
  <c r="K902" i="10"/>
  <c r="K903" i="10"/>
  <c r="K904" i="10"/>
  <c r="K905" i="10"/>
  <c r="K907" i="10"/>
  <c r="K908" i="10"/>
  <c r="K909" i="10"/>
  <c r="K910" i="10"/>
  <c r="K911" i="10"/>
  <c r="K912" i="10"/>
  <c r="K913" i="10"/>
  <c r="K914" i="10"/>
  <c r="K915" i="10"/>
  <c r="K917" i="10"/>
  <c r="K918" i="10"/>
  <c r="K919" i="10"/>
  <c r="K920" i="10"/>
  <c r="K921" i="10"/>
  <c r="K922" i="10"/>
  <c r="K923" i="10"/>
  <c r="K924" i="10"/>
  <c r="K925" i="10"/>
  <c r="K926" i="10"/>
  <c r="K927" i="10"/>
  <c r="K928" i="10"/>
  <c r="K929" i="10"/>
  <c r="K930" i="10"/>
  <c r="K931" i="10"/>
  <c r="K932" i="10"/>
  <c r="K933" i="10"/>
  <c r="K934" i="10"/>
  <c r="K935" i="10"/>
  <c r="K936" i="10"/>
  <c r="K937" i="10"/>
  <c r="K938" i="10"/>
  <c r="K940" i="10"/>
  <c r="K941" i="10"/>
  <c r="K942" i="10"/>
  <c r="K943" i="10"/>
  <c r="K944" i="10"/>
  <c r="K945" i="10"/>
  <c r="K946" i="10"/>
  <c r="K947" i="10"/>
  <c r="K948" i="10"/>
  <c r="K949" i="10"/>
  <c r="K951" i="10"/>
  <c r="K952" i="10"/>
  <c r="K953" i="10"/>
  <c r="K954" i="10"/>
  <c r="K955" i="10"/>
  <c r="K956" i="10"/>
  <c r="K957" i="10"/>
  <c r="K958" i="10"/>
  <c r="K959" i="10"/>
  <c r="K961" i="10"/>
  <c r="K962" i="10"/>
  <c r="K963" i="10"/>
  <c r="K964" i="10"/>
  <c r="K965" i="10"/>
  <c r="K966" i="10"/>
  <c r="K967" i="10"/>
  <c r="K969" i="10"/>
  <c r="K970" i="10"/>
  <c r="K971" i="10"/>
  <c r="K972" i="10"/>
  <c r="K973" i="10"/>
  <c r="K974" i="10"/>
  <c r="K975" i="10"/>
  <c r="K976" i="10"/>
  <c r="K977" i="10"/>
  <c r="K978" i="10"/>
  <c r="K979" i="10"/>
  <c r="K980" i="10"/>
  <c r="K981" i="10"/>
  <c r="K982" i="10"/>
  <c r="K983" i="10"/>
  <c r="K984" i="10"/>
  <c r="K985" i="10"/>
  <c r="K986" i="10"/>
  <c r="K987" i="10"/>
  <c r="K988" i="10"/>
  <c r="K989" i="10"/>
  <c r="K990" i="10"/>
  <c r="K991" i="10"/>
  <c r="K992" i="10"/>
  <c r="K993" i="10"/>
  <c r="K995" i="10"/>
  <c r="K996" i="10"/>
  <c r="K997" i="10"/>
  <c r="K998" i="10"/>
  <c r="K999" i="10"/>
  <c r="K1000" i="10"/>
  <c r="K1001" i="10"/>
  <c r="K1002" i="10"/>
  <c r="K1003" i="10"/>
  <c r="K1004" i="10"/>
  <c r="K1005" i="10"/>
  <c r="K1006" i="10"/>
  <c r="K1008" i="10"/>
  <c r="K1009" i="10"/>
  <c r="K1010" i="10"/>
  <c r="K1011" i="10"/>
  <c r="K1012" i="10"/>
  <c r="K1013" i="10"/>
  <c r="K1014" i="10"/>
  <c r="K1015" i="10"/>
  <c r="K1016" i="10"/>
  <c r="K1017" i="10"/>
  <c r="K1018" i="10"/>
  <c r="K1019" i="10"/>
  <c r="K1020" i="10"/>
  <c r="K1021" i="10"/>
  <c r="K1022" i="10"/>
  <c r="K1023" i="10"/>
  <c r="K1024" i="10"/>
  <c r="K1025" i="10"/>
  <c r="K1026" i="10"/>
  <c r="K1027" i="10"/>
  <c r="K1028" i="10"/>
  <c r="K1029" i="10"/>
  <c r="K1030" i="10"/>
  <c r="K1031" i="10"/>
  <c r="K1033" i="10"/>
  <c r="K1034" i="10"/>
  <c r="K1035" i="10"/>
  <c r="K1036" i="10"/>
  <c r="K1037" i="10"/>
  <c r="K1038" i="10"/>
  <c r="K1039" i="10"/>
  <c r="K1040" i="10"/>
  <c r="K1041" i="10"/>
  <c r="K1042" i="10"/>
  <c r="K1043" i="10"/>
  <c r="K1044" i="10"/>
  <c r="K1045" i="10"/>
  <c r="K1046" i="10"/>
  <c r="K1047" i="10"/>
  <c r="K1048" i="10"/>
  <c r="K1049" i="10"/>
  <c r="K1050" i="10"/>
  <c r="K1051" i="10"/>
  <c r="K1052" i="10"/>
  <c r="K1053" i="10"/>
  <c r="K1054" i="10"/>
  <c r="K1055" i="10"/>
  <c r="K1056" i="10"/>
  <c r="K1057" i="10"/>
  <c r="K1058" i="10"/>
  <c r="K1059" i="10"/>
  <c r="K1060" i="10"/>
  <c r="K1061" i="10"/>
  <c r="K1062" i="10"/>
  <c r="K1063" i="10"/>
  <c r="K1064" i="10"/>
  <c r="K1065" i="10"/>
  <c r="K1066" i="10"/>
  <c r="K1067" i="10"/>
  <c r="K1068" i="10"/>
  <c r="K1069" i="10"/>
  <c r="K1070" i="10"/>
  <c r="K1071" i="10"/>
  <c r="K1072" i="10"/>
  <c r="K1073" i="10"/>
  <c r="K1075" i="10"/>
  <c r="K1076" i="10"/>
  <c r="K1077" i="10"/>
  <c r="K1078" i="10"/>
  <c r="K1079" i="10"/>
  <c r="K1080" i="10"/>
  <c r="K1081" i="10"/>
  <c r="K1082" i="10"/>
  <c r="K1083" i="10"/>
  <c r="K1084" i="10"/>
  <c r="K1085" i="10"/>
  <c r="K1086" i="10"/>
  <c r="K1087" i="10"/>
  <c r="K1088" i="10"/>
  <c r="K1089" i="10"/>
  <c r="K1090" i="10"/>
  <c r="K1091" i="10"/>
  <c r="K1092" i="10"/>
  <c r="K1094" i="10"/>
  <c r="K1095" i="10"/>
  <c r="K1096" i="10"/>
  <c r="K1097" i="10"/>
  <c r="K1098" i="10"/>
  <c r="K1099" i="10"/>
  <c r="K1100" i="10"/>
  <c r="K1101" i="10"/>
  <c r="K1102" i="10"/>
  <c r="K1103" i="10"/>
  <c r="K1104" i="10"/>
  <c r="K1105" i="10"/>
  <c r="K1106" i="10"/>
  <c r="K1107" i="10"/>
  <c r="K1108" i="10"/>
  <c r="K1109" i="10"/>
  <c r="K1110" i="10"/>
  <c r="K1111" i="10"/>
  <c r="K1112" i="10"/>
  <c r="K1114" i="10"/>
  <c r="K1115" i="10"/>
  <c r="K1116" i="10"/>
  <c r="K1117" i="10"/>
  <c r="K1118" i="10"/>
  <c r="K1119" i="10"/>
  <c r="K1120" i="10"/>
  <c r="K1121" i="10"/>
  <c r="K1122" i="10"/>
  <c r="K1123" i="10"/>
  <c r="K1124" i="10"/>
  <c r="K1125" i="10"/>
  <c r="K1126" i="10"/>
  <c r="K1127" i="10"/>
  <c r="K1128" i="10"/>
  <c r="K1129" i="10"/>
  <c r="K1130" i="10"/>
  <c r="K1131" i="10"/>
  <c r="K1132" i="10"/>
  <c r="K1133" i="10"/>
  <c r="K1134" i="10"/>
  <c r="K1135" i="10"/>
  <c r="K1136" i="10"/>
  <c r="K1137" i="10"/>
  <c r="K1138" i="10"/>
  <c r="K1139" i="10"/>
  <c r="K1140" i="10"/>
  <c r="K1141" i="10"/>
  <c r="K1142" i="10"/>
  <c r="K1143" i="10"/>
  <c r="K1144" i="10"/>
  <c r="K1145" i="10"/>
  <c r="K1146" i="10"/>
  <c r="K1147" i="10"/>
  <c r="K1148" i="10"/>
  <c r="K1149" i="10"/>
  <c r="K1150" i="10"/>
  <c r="K1151" i="10"/>
  <c r="K1152" i="10"/>
  <c r="K1153" i="10"/>
  <c r="K1154" i="10"/>
  <c r="K1155" i="10"/>
  <c r="K1156" i="10"/>
  <c r="K1157" i="10"/>
  <c r="K1158" i="10"/>
  <c r="K1159" i="10"/>
  <c r="K1160" i="10"/>
  <c r="K1161" i="10"/>
  <c r="K1162" i="10"/>
  <c r="K1163" i="10"/>
  <c r="K1164" i="10"/>
  <c r="K1165" i="10"/>
  <c r="K1166" i="10"/>
  <c r="K1167" i="10"/>
  <c r="K1168" i="10"/>
  <c r="K1169" i="10"/>
  <c r="K1170" i="10"/>
  <c r="K1171" i="10"/>
  <c r="K1172" i="10"/>
  <c r="K1173" i="10"/>
  <c r="K1174" i="10"/>
  <c r="K1175" i="10"/>
  <c r="K1176" i="10"/>
  <c r="K1177" i="10"/>
  <c r="K1178" i="10"/>
  <c r="K1179" i="10"/>
  <c r="K1180" i="10"/>
  <c r="K1181" i="10"/>
  <c r="K1182" i="10"/>
  <c r="K1183" i="10"/>
  <c r="K1184" i="10"/>
  <c r="K1185" i="10"/>
  <c r="K1186" i="10"/>
  <c r="K1187" i="10"/>
  <c r="K1188" i="10"/>
  <c r="K1189" i="10"/>
  <c r="K1190" i="10"/>
  <c r="K1191" i="10"/>
  <c r="K1192" i="10"/>
  <c r="K1193" i="10"/>
  <c r="K1194" i="10"/>
  <c r="K1195" i="10"/>
  <c r="K1196" i="10"/>
  <c r="K1197" i="10"/>
  <c r="K1198" i="10"/>
  <c r="K1199" i="10"/>
  <c r="K1200" i="10"/>
  <c r="K1201" i="10"/>
  <c r="K1202" i="10"/>
  <c r="K1203" i="10"/>
  <c r="K1204" i="10"/>
  <c r="K1205" i="10"/>
  <c r="K1206" i="10"/>
  <c r="K1207" i="10"/>
  <c r="K1208" i="10"/>
  <c r="K1209" i="10"/>
  <c r="K1210" i="10"/>
  <c r="K1211" i="10"/>
  <c r="K1212" i="10"/>
  <c r="K1213" i="10"/>
  <c r="K1214" i="10"/>
  <c r="K1215" i="10"/>
  <c r="K1216" i="10"/>
  <c r="K1217" i="10"/>
  <c r="K1218" i="10"/>
  <c r="K1220" i="10"/>
  <c r="K1221" i="10"/>
  <c r="K1222" i="10"/>
  <c r="K1223" i="10"/>
  <c r="K1224" i="10"/>
  <c r="K1225" i="10"/>
  <c r="K1226" i="10"/>
  <c r="K1227" i="10"/>
  <c r="K1229" i="10"/>
  <c r="K1230" i="10"/>
  <c r="K1231" i="10"/>
  <c r="K1232" i="10"/>
  <c r="K1233" i="10"/>
  <c r="K1234" i="10"/>
  <c r="K1235" i="10"/>
  <c r="K1236" i="10"/>
  <c r="K1237" i="10"/>
  <c r="K1238" i="10"/>
  <c r="K1240" i="10"/>
  <c r="K1241" i="10"/>
  <c r="K1242" i="10"/>
  <c r="K1243" i="10"/>
  <c r="K1244" i="10"/>
  <c r="K1245" i="10"/>
  <c r="K1246" i="10"/>
  <c r="K1247" i="10"/>
  <c r="K1248" i="10"/>
  <c r="K1249" i="10"/>
  <c r="K1250" i="10"/>
  <c r="K1251" i="10"/>
  <c r="K1252" i="10"/>
  <c r="K1253" i="10"/>
  <c r="K1254" i="10"/>
  <c r="K1255" i="10"/>
  <c r="K1256" i="10"/>
  <c r="K1257" i="10"/>
  <c r="K1258" i="10"/>
  <c r="K1259" i="10"/>
  <c r="K1260" i="10"/>
  <c r="K1262" i="10"/>
  <c r="K1263" i="10"/>
  <c r="K1264" i="10"/>
  <c r="K1265" i="10"/>
  <c r="K1266" i="10"/>
  <c r="K1267" i="10"/>
  <c r="K1268" i="10"/>
  <c r="K1269" i="10"/>
  <c r="K1270" i="10"/>
  <c r="K1271" i="10"/>
  <c r="K1272" i="10"/>
  <c r="K1273" i="10"/>
  <c r="K1274" i="10"/>
  <c r="K1275" i="10"/>
  <c r="K1276" i="10"/>
  <c r="K1277" i="10"/>
  <c r="K1278" i="10"/>
  <c r="K1279" i="10"/>
  <c r="K1280" i="10"/>
  <c r="K1281" i="10"/>
  <c r="K1282" i="10"/>
  <c r="K1283" i="10"/>
  <c r="K1284" i="10"/>
  <c r="K1285" i="10"/>
  <c r="K1286" i="10"/>
  <c r="K1288" i="10"/>
  <c r="K1289" i="10"/>
  <c r="K1290" i="10"/>
  <c r="K1291" i="10"/>
  <c r="K1292" i="10"/>
  <c r="K1293" i="10"/>
  <c r="K1294" i="10"/>
  <c r="K1295" i="10"/>
  <c r="K1296" i="10"/>
  <c r="K1297" i="10"/>
  <c r="K1298" i="10"/>
  <c r="K1300" i="10"/>
  <c r="K1301" i="10"/>
  <c r="K1302" i="10"/>
  <c r="K1303" i="10"/>
  <c r="K1304" i="10"/>
  <c r="K1306" i="10"/>
  <c r="K1307" i="10"/>
  <c r="K1308" i="10"/>
  <c r="K1309" i="10"/>
  <c r="K1310" i="10"/>
  <c r="K1311" i="10"/>
  <c r="K1312" i="10"/>
  <c r="K1313" i="10"/>
  <c r="K1314" i="10"/>
  <c r="K1316" i="10"/>
  <c r="K1317" i="10"/>
  <c r="K1318" i="10"/>
  <c r="K1319" i="10"/>
  <c r="K1320" i="10"/>
  <c r="K1321" i="10"/>
  <c r="K1322" i="10"/>
  <c r="K1323" i="10"/>
  <c r="K1325" i="10"/>
  <c r="K1326" i="10"/>
  <c r="K1327" i="10"/>
  <c r="K1328" i="10"/>
  <c r="K1329" i="10"/>
  <c r="K1330" i="10"/>
  <c r="K1331" i="10"/>
  <c r="K1332" i="10"/>
  <c r="K1333" i="10"/>
  <c r="K1334" i="10"/>
  <c r="K1336" i="10"/>
  <c r="K1337" i="10"/>
  <c r="K1338" i="10"/>
  <c r="K1339" i="10"/>
  <c r="K1340" i="10"/>
  <c r="K1341" i="10"/>
  <c r="K1342" i="10"/>
  <c r="K1343" i="10"/>
  <c r="K1344" i="10"/>
  <c r="K1345" i="10"/>
  <c r="K1346" i="10"/>
  <c r="K1348" i="10"/>
  <c r="K1349" i="10"/>
  <c r="K1350" i="10"/>
  <c r="K1351" i="10"/>
  <c r="K1352" i="10"/>
  <c r="K1353" i="10"/>
  <c r="K1354" i="10"/>
  <c r="K1355" i="10"/>
  <c r="K1356" i="10"/>
  <c r="K1357" i="10"/>
  <c r="K1358" i="10"/>
  <c r="K1359" i="10"/>
  <c r="K1360" i="10"/>
  <c r="K1361" i="10"/>
  <c r="K1362" i="10"/>
  <c r="K1363" i="10"/>
  <c r="K1364" i="10"/>
  <c r="K1365" i="10"/>
  <c r="K1366" i="10"/>
  <c r="K1367" i="10"/>
  <c r="K1368" i="10"/>
  <c r="K1369" i="10"/>
  <c r="K1370" i="10"/>
  <c r="K1371" i="10"/>
  <c r="K1372" i="10"/>
  <c r="K1373" i="10"/>
  <c r="K1374" i="10"/>
  <c r="K1375" i="10"/>
  <c r="K1376" i="10"/>
  <c r="K1377" i="10"/>
  <c r="K1378" i="10"/>
  <c r="K1379" i="10"/>
  <c r="K1380" i="10"/>
  <c r="K1381" i="10"/>
  <c r="K1382" i="10"/>
  <c r="K1383" i="10"/>
  <c r="K1384" i="10"/>
  <c r="K1385" i="10"/>
  <c r="K1386" i="10"/>
  <c r="K1387" i="10"/>
  <c r="K1388" i="10"/>
  <c r="K1389" i="10"/>
  <c r="K1390" i="10"/>
  <c r="K1391" i="10"/>
  <c r="K1392" i="10"/>
  <c r="K1393" i="10"/>
  <c r="K1394" i="10"/>
  <c r="K1395" i="10"/>
  <c r="K1396" i="10"/>
  <c r="K1397" i="10"/>
  <c r="K1398" i="10"/>
  <c r="K1399" i="10"/>
  <c r="K1400" i="10"/>
  <c r="K1401" i="10"/>
  <c r="K1402" i="10"/>
  <c r="K1403" i="10"/>
  <c r="K1404" i="10"/>
  <c r="K1405" i="10"/>
  <c r="K1406" i="10"/>
  <c r="K1407" i="10"/>
  <c r="K1408" i="10"/>
  <c r="K1409" i="10"/>
  <c r="K1410" i="10"/>
  <c r="K1411" i="10"/>
  <c r="K1412" i="10"/>
  <c r="K1413" i="10"/>
  <c r="K1414" i="10"/>
  <c r="K1415" i="10"/>
  <c r="K1416" i="10"/>
  <c r="K1417" i="10"/>
  <c r="K1418" i="10"/>
  <c r="K1419" i="10"/>
  <c r="K1420" i="10"/>
  <c r="K1421" i="10"/>
  <c r="K1423" i="10"/>
  <c r="K1424" i="10"/>
  <c r="K1425" i="10"/>
  <c r="K1426" i="10"/>
  <c r="K1427" i="10"/>
  <c r="K1428" i="10"/>
  <c r="K1429" i="10"/>
  <c r="K1430" i="10"/>
  <c r="K1431" i="10"/>
  <c r="K1432" i="10"/>
  <c r="K1433" i="10"/>
  <c r="K1434" i="10"/>
  <c r="K1435" i="10"/>
  <c r="K1436" i="10"/>
  <c r="K1437" i="10"/>
  <c r="K1438" i="10"/>
  <c r="K1439" i="10"/>
  <c r="K1440" i="10"/>
  <c r="K1441" i="10"/>
  <c r="K1442" i="10"/>
  <c r="L1090" i="10" l="1"/>
  <c r="L1093" i="10"/>
  <c r="L1113" i="10"/>
  <c r="L1219" i="10"/>
  <c r="L1228" i="10"/>
  <c r="L1239" i="10"/>
  <c r="L1261" i="10"/>
  <c r="L1287" i="10"/>
  <c r="L1299" i="10"/>
  <c r="L1305" i="10"/>
  <c r="L1315" i="10"/>
  <c r="L1324" i="10"/>
  <c r="L1335" i="10"/>
  <c r="L1347" i="10"/>
  <c r="L1422" i="10"/>
  <c r="J25" i="10"/>
  <c r="L25" i="10" s="1"/>
  <c r="F1442" i="10"/>
  <c r="J1442" i="10" s="1"/>
  <c r="F1441" i="10"/>
  <c r="J1441" i="10" s="1"/>
  <c r="F1440" i="10"/>
  <c r="J1440" i="10" s="1"/>
  <c r="J1439" i="10"/>
  <c r="M1439" i="10" s="1"/>
  <c r="J1438" i="10"/>
  <c r="J1437" i="10"/>
  <c r="M1437" i="10" s="1"/>
  <c r="F1436" i="10"/>
  <c r="F1435" i="10"/>
  <c r="F1434" i="10"/>
  <c r="F1433" i="10"/>
  <c r="F1432" i="10"/>
  <c r="F1431" i="10"/>
  <c r="F1430" i="10"/>
  <c r="F1429" i="10"/>
  <c r="F1428" i="10"/>
  <c r="F1427" i="10"/>
  <c r="F1426" i="10"/>
  <c r="F1425" i="10"/>
  <c r="F1424" i="10"/>
  <c r="F1423" i="10"/>
  <c r="J1421" i="10"/>
  <c r="M1421" i="10" s="1"/>
  <c r="J1419" i="10"/>
  <c r="M1419" i="10" s="1"/>
  <c r="J1418" i="10"/>
  <c r="J1417" i="10"/>
  <c r="M1417" i="10" s="1"/>
  <c r="F1416" i="10"/>
  <c r="F1415" i="10"/>
  <c r="F1414" i="10"/>
  <c r="F1413" i="10"/>
  <c r="F1412" i="10"/>
  <c r="F1411" i="10"/>
  <c r="F1410" i="10"/>
  <c r="F1409" i="10"/>
  <c r="F1408" i="10"/>
  <c r="F1407" i="10"/>
  <c r="J1406" i="10"/>
  <c r="L1406" i="10" s="1"/>
  <c r="J1404" i="10"/>
  <c r="F1404" i="10"/>
  <c r="J1403" i="10"/>
  <c r="F1403" i="10"/>
  <c r="J1402" i="10"/>
  <c r="F1402" i="10"/>
  <c r="J1401" i="10"/>
  <c r="L1401" i="10" s="1"/>
  <c r="F1401" i="10"/>
  <c r="J1400" i="10"/>
  <c r="F1400" i="10"/>
  <c r="J1399" i="10"/>
  <c r="F1399" i="10"/>
  <c r="J1398" i="10"/>
  <c r="F1398" i="10"/>
  <c r="J1397" i="10"/>
  <c r="M1397" i="10" s="1"/>
  <c r="J1395" i="10"/>
  <c r="J1394" i="10"/>
  <c r="J1393" i="10"/>
  <c r="L1393" i="10" s="1"/>
  <c r="J1392" i="10"/>
  <c r="F1392" i="10"/>
  <c r="J1391" i="10"/>
  <c r="F1391" i="10"/>
  <c r="J1390" i="10"/>
  <c r="F1390" i="10"/>
  <c r="J1389" i="10"/>
  <c r="F1389" i="10"/>
  <c r="J1388" i="10"/>
  <c r="F1388" i="10"/>
  <c r="J1387" i="10"/>
  <c r="F1387" i="10"/>
  <c r="J1386" i="10"/>
  <c r="F1386" i="10"/>
  <c r="J1385" i="10"/>
  <c r="L1385" i="10" s="1"/>
  <c r="F1385" i="10"/>
  <c r="J1384" i="10"/>
  <c r="L1384" i="10" s="1"/>
  <c r="J1382" i="10"/>
  <c r="L1382" i="10" s="1"/>
  <c r="J1381" i="10"/>
  <c r="L1381" i="10" s="1"/>
  <c r="F1381" i="10"/>
  <c r="J1380" i="10"/>
  <c r="F1380" i="10"/>
  <c r="J1379" i="10"/>
  <c r="F1379" i="10"/>
  <c r="J1378" i="10"/>
  <c r="F1378" i="10"/>
  <c r="J1377" i="10"/>
  <c r="L1377" i="10" s="1"/>
  <c r="F1377" i="10"/>
  <c r="G1376" i="10"/>
  <c r="F1376" i="10"/>
  <c r="J1376" i="10" s="1"/>
  <c r="J1375" i="10"/>
  <c r="M1375" i="10" s="1"/>
  <c r="J1373" i="10"/>
  <c r="L1373" i="10" s="1"/>
  <c r="J1372" i="10"/>
  <c r="J1371" i="10"/>
  <c r="F1370" i="10"/>
  <c r="J1370" i="10" s="1"/>
  <c r="F1369" i="10"/>
  <c r="J1369" i="10" s="1"/>
  <c r="J1368" i="10"/>
  <c r="J1367" i="10"/>
  <c r="F1367" i="10"/>
  <c r="J1366" i="10"/>
  <c r="F1366" i="10"/>
  <c r="J1365" i="10"/>
  <c r="L1365" i="10" s="1"/>
  <c r="F1365" i="10"/>
  <c r="J1364" i="10"/>
  <c r="F1364" i="10"/>
  <c r="J1363" i="10"/>
  <c r="F1363" i="10"/>
  <c r="J1362" i="10"/>
  <c r="F1362" i="10"/>
  <c r="J1361" i="10"/>
  <c r="L1361" i="10" s="1"/>
  <c r="F1361" i="10"/>
  <c r="J1360" i="10"/>
  <c r="L1360" i="10" s="1"/>
  <c r="F1360" i="10"/>
  <c r="J1359" i="10"/>
  <c r="L1359" i="10" s="1"/>
  <c r="F1359" i="10"/>
  <c r="J1358" i="10"/>
  <c r="L1358" i="10" s="1"/>
  <c r="J1356" i="10"/>
  <c r="L1356" i="10" s="1"/>
  <c r="J1355" i="10"/>
  <c r="L1355" i="10" s="1"/>
  <c r="J1354" i="10"/>
  <c r="L1354" i="10" s="1"/>
  <c r="J1353" i="10"/>
  <c r="L1353" i="10" s="1"/>
  <c r="F1353" i="10"/>
  <c r="F1352" i="10"/>
  <c r="J1352" i="10" s="1"/>
  <c r="J1351" i="10"/>
  <c r="L1351" i="10" s="1"/>
  <c r="F1351" i="10"/>
  <c r="F1350" i="10"/>
  <c r="J1350" i="10" s="1"/>
  <c r="J1349" i="10"/>
  <c r="L1349" i="10" s="1"/>
  <c r="F1349" i="10"/>
  <c r="F1348" i="10"/>
  <c r="J1348" i="10" s="1"/>
  <c r="J1346" i="10"/>
  <c r="J1345" i="10"/>
  <c r="L1345" i="10" s="1"/>
  <c r="J1343" i="10"/>
  <c r="F1343" i="10"/>
  <c r="F1342" i="10"/>
  <c r="J1342" i="10" s="1"/>
  <c r="J1341" i="10"/>
  <c r="L1341" i="10" s="1"/>
  <c r="F1341" i="10"/>
  <c r="F1340" i="10"/>
  <c r="J1340" i="10" s="1"/>
  <c r="J1339" i="10"/>
  <c r="F1339" i="10"/>
  <c r="F1338" i="10"/>
  <c r="J1338" i="10" s="1"/>
  <c r="J1337" i="10"/>
  <c r="L1337" i="10" s="1"/>
  <c r="F1337" i="10"/>
  <c r="F1336" i="10"/>
  <c r="J1336" i="10" s="1"/>
  <c r="F1333" i="10"/>
  <c r="J1333" i="10" s="1"/>
  <c r="F1332" i="10"/>
  <c r="J1332" i="10" s="1"/>
  <c r="F1331" i="10"/>
  <c r="J1331" i="10" s="1"/>
  <c r="F1330" i="10"/>
  <c r="J1330" i="10" s="1"/>
  <c r="F1329" i="10"/>
  <c r="J1329" i="10" s="1"/>
  <c r="F1328" i="10"/>
  <c r="J1328" i="10" s="1"/>
  <c r="F1327" i="10"/>
  <c r="J1327" i="10" s="1"/>
  <c r="F1326" i="10"/>
  <c r="J1326" i="10" s="1"/>
  <c r="F1325" i="10"/>
  <c r="J1325" i="10" s="1"/>
  <c r="M1324" i="10"/>
  <c r="J1322" i="10"/>
  <c r="F1322" i="10"/>
  <c r="F1321" i="10"/>
  <c r="J1321" i="10" s="1"/>
  <c r="J1320" i="10"/>
  <c r="F1320" i="10"/>
  <c r="F1319" i="10"/>
  <c r="J1319" i="10" s="1"/>
  <c r="J1318" i="10"/>
  <c r="F1318" i="10"/>
  <c r="F1317" i="10"/>
  <c r="J1317" i="10" s="1"/>
  <c r="J1316" i="10"/>
  <c r="F1316" i="10"/>
  <c r="J1314" i="10"/>
  <c r="L1314" i="10" s="1"/>
  <c r="J1312" i="10"/>
  <c r="L1312" i="10" s="1"/>
  <c r="F1311" i="10"/>
  <c r="J1311" i="10" s="1"/>
  <c r="J1310" i="10"/>
  <c r="F1310" i="10"/>
  <c r="F1309" i="10"/>
  <c r="J1309" i="10" s="1"/>
  <c r="J1308" i="10"/>
  <c r="F1308" i="10"/>
  <c r="F1307" i="10"/>
  <c r="J1307" i="10" s="1"/>
  <c r="J1306" i="10"/>
  <c r="F1306" i="10"/>
  <c r="J1303" i="10"/>
  <c r="L1303" i="10" s="1"/>
  <c r="F1302" i="10"/>
  <c r="J1302" i="10" s="1"/>
  <c r="L1302" i="10" s="1"/>
  <c r="J1301" i="10"/>
  <c r="F1301" i="10"/>
  <c r="F1300" i="10"/>
  <c r="J1300" i="10" s="1"/>
  <c r="L1300" i="10" s="1"/>
  <c r="J1297" i="10"/>
  <c r="L1297" i="10" s="1"/>
  <c r="F1297" i="10"/>
  <c r="J1296" i="10"/>
  <c r="J1295" i="10"/>
  <c r="L1295" i="10" s="1"/>
  <c r="F1294" i="10"/>
  <c r="J1294" i="10" s="1"/>
  <c r="J1293" i="10"/>
  <c r="L1293" i="10" s="1"/>
  <c r="F1293" i="10"/>
  <c r="F1292" i="10"/>
  <c r="J1292" i="10" s="1"/>
  <c r="J1291" i="10"/>
  <c r="L1291" i="10" s="1"/>
  <c r="F1291" i="10"/>
  <c r="F1290" i="10"/>
  <c r="J1290" i="10" s="1"/>
  <c r="J1289" i="10"/>
  <c r="L1289" i="10" s="1"/>
  <c r="F1289" i="10"/>
  <c r="F1288" i="10"/>
  <c r="J1288" i="10" s="1"/>
  <c r="J1286" i="10"/>
  <c r="J1284" i="10"/>
  <c r="J1283" i="10"/>
  <c r="L1283" i="10" s="1"/>
  <c r="J1282" i="10"/>
  <c r="J1281" i="10"/>
  <c r="L1281" i="10" s="1"/>
  <c r="J1280" i="10"/>
  <c r="J1279" i="10"/>
  <c r="L1279" i="10" s="1"/>
  <c r="F1279" i="10"/>
  <c r="F1278" i="10"/>
  <c r="J1277" i="10"/>
  <c r="F1277" i="10"/>
  <c r="F1276" i="10"/>
  <c r="J1275" i="10"/>
  <c r="L1275" i="10" s="1"/>
  <c r="F1275" i="10"/>
  <c r="F1274" i="10"/>
  <c r="J1273" i="10"/>
  <c r="F1273" i="10"/>
  <c r="F1272" i="10"/>
  <c r="J1271" i="10"/>
  <c r="L1271" i="10" s="1"/>
  <c r="F1271" i="10"/>
  <c r="F1270" i="10"/>
  <c r="J1269" i="10"/>
  <c r="F1269" i="10"/>
  <c r="F1268" i="10"/>
  <c r="J1267" i="10"/>
  <c r="L1267" i="10" s="1"/>
  <c r="F1267" i="10"/>
  <c r="F1266" i="10"/>
  <c r="J1265" i="10"/>
  <c r="F1265" i="10"/>
  <c r="F1264" i="10"/>
  <c r="J1263" i="10"/>
  <c r="L1263" i="10" s="1"/>
  <c r="F1263" i="10"/>
  <c r="F1262" i="10"/>
  <c r="J1259" i="10"/>
  <c r="L1259" i="10" s="1"/>
  <c r="J1258" i="10"/>
  <c r="J1257" i="10"/>
  <c r="L1257" i="10" s="1"/>
  <c r="F1257" i="10"/>
  <c r="F1256" i="10"/>
  <c r="J1255" i="10"/>
  <c r="F1255" i="10"/>
  <c r="F1254" i="10"/>
  <c r="J1253" i="10"/>
  <c r="L1253" i="10" s="1"/>
  <c r="F1253" i="10"/>
  <c r="F1252" i="10"/>
  <c r="J1251" i="10"/>
  <c r="L1251" i="10" s="1"/>
  <c r="F1251" i="10"/>
  <c r="J1250" i="10"/>
  <c r="L1250" i="10" s="1"/>
  <c r="F1249" i="10"/>
  <c r="J1248" i="10"/>
  <c r="L1248" i="10" s="1"/>
  <c r="F1248" i="10"/>
  <c r="F1247" i="10"/>
  <c r="J1246" i="10"/>
  <c r="F1246" i="10"/>
  <c r="F1245" i="10"/>
  <c r="J1244" i="10"/>
  <c r="L1244" i="10" s="1"/>
  <c r="F1244" i="10"/>
  <c r="F1243" i="10"/>
  <c r="J1242" i="10"/>
  <c r="F1242" i="10"/>
  <c r="F1241" i="10"/>
  <c r="J1240" i="10"/>
  <c r="L1240" i="10" s="1"/>
  <c r="F1240" i="10"/>
  <c r="J1238" i="10"/>
  <c r="J1236" i="10"/>
  <c r="J1235" i="10"/>
  <c r="F1234" i="10"/>
  <c r="F1233" i="10"/>
  <c r="F1232" i="10"/>
  <c r="F1231" i="10"/>
  <c r="F1230" i="10"/>
  <c r="G1229" i="10"/>
  <c r="F1229" i="10"/>
  <c r="J1229" i="10" s="1"/>
  <c r="J1227" i="10"/>
  <c r="L1227" i="10" s="1"/>
  <c r="J1225" i="10"/>
  <c r="L1225" i="10" s="1"/>
  <c r="J1224" i="10"/>
  <c r="L1224" i="10" s="1"/>
  <c r="F1223" i="10"/>
  <c r="J1222" i="10"/>
  <c r="L1222" i="10" s="1"/>
  <c r="F1222" i="10"/>
  <c r="F1221" i="10"/>
  <c r="G1220" i="10"/>
  <c r="F1220" i="10"/>
  <c r="J1220" i="10" s="1"/>
  <c r="L1220" i="10" s="1"/>
  <c r="J1218" i="10"/>
  <c r="J1216" i="10"/>
  <c r="L1216" i="10" s="1"/>
  <c r="J1215" i="10"/>
  <c r="L1215" i="10" s="1"/>
  <c r="J1214" i="10"/>
  <c r="L1214" i="10" s="1"/>
  <c r="F1213" i="10"/>
  <c r="J1212" i="10"/>
  <c r="L1212" i="10" s="1"/>
  <c r="F1212" i="10"/>
  <c r="F1211" i="10"/>
  <c r="J1210" i="10"/>
  <c r="F1210" i="10"/>
  <c r="F1209" i="10"/>
  <c r="J1208" i="10"/>
  <c r="L1208" i="10" s="1"/>
  <c r="F1208" i="10"/>
  <c r="F1207" i="10"/>
  <c r="J1206" i="10"/>
  <c r="F1206" i="10"/>
  <c r="F1205" i="10"/>
  <c r="J1204" i="10"/>
  <c r="L1204" i="10" s="1"/>
  <c r="F1204" i="10"/>
  <c r="F1203" i="10"/>
  <c r="J1202" i="10"/>
  <c r="F1202" i="10"/>
  <c r="L1201" i="10"/>
  <c r="J1199" i="10"/>
  <c r="F1199" i="10"/>
  <c r="F1198" i="10"/>
  <c r="J1197" i="10"/>
  <c r="L1197" i="10" s="1"/>
  <c r="F1197" i="10"/>
  <c r="J1196" i="10"/>
  <c r="J1195" i="10"/>
  <c r="F1194" i="10"/>
  <c r="J1193" i="10"/>
  <c r="F1193" i="10"/>
  <c r="F1192" i="10"/>
  <c r="J1191" i="10"/>
  <c r="L1191" i="10" s="1"/>
  <c r="F1191" i="10"/>
  <c r="F1190" i="10"/>
  <c r="J1189" i="10"/>
  <c r="F1189" i="10"/>
  <c r="F1188" i="10"/>
  <c r="L1187" i="10"/>
  <c r="F1185" i="10"/>
  <c r="J1184" i="10"/>
  <c r="L1184" i="10" s="1"/>
  <c r="J1183" i="10"/>
  <c r="L1183" i="10" s="1"/>
  <c r="J1182" i="10"/>
  <c r="F1182" i="10"/>
  <c r="F1181" i="10"/>
  <c r="J1180" i="10"/>
  <c r="L1180" i="10" s="1"/>
  <c r="F1180" i="10"/>
  <c r="F1179" i="10"/>
  <c r="J1178" i="10"/>
  <c r="F1178" i="10"/>
  <c r="F1177" i="10"/>
  <c r="J1176" i="10"/>
  <c r="L1176" i="10" s="1"/>
  <c r="F1176" i="10"/>
  <c r="F1175" i="10"/>
  <c r="J1174" i="10"/>
  <c r="F1174" i="10"/>
  <c r="F1173" i="10"/>
  <c r="J1172" i="10"/>
  <c r="L1172" i="10" s="1"/>
  <c r="F1172" i="10"/>
  <c r="F1171" i="10"/>
  <c r="J1170" i="10"/>
  <c r="F1170" i="10"/>
  <c r="L1169" i="10"/>
  <c r="J1167" i="10"/>
  <c r="L1167" i="10" s="1"/>
  <c r="J1166" i="10"/>
  <c r="F1166" i="10"/>
  <c r="F1165" i="10"/>
  <c r="J1164" i="10"/>
  <c r="L1164" i="10" s="1"/>
  <c r="F1164" i="10"/>
  <c r="F1163" i="10"/>
  <c r="J1162" i="10"/>
  <c r="F1162" i="10"/>
  <c r="F1161" i="10"/>
  <c r="J1160" i="10"/>
  <c r="L1160" i="10" s="1"/>
  <c r="F1160" i="10"/>
  <c r="F1159" i="10"/>
  <c r="J1158" i="10"/>
  <c r="F1158" i="10"/>
  <c r="F1157" i="10"/>
  <c r="L1156" i="10"/>
  <c r="J1154" i="10"/>
  <c r="J1153" i="10"/>
  <c r="F1152" i="10"/>
  <c r="J1151" i="10"/>
  <c r="F1151" i="10"/>
  <c r="F1150" i="10"/>
  <c r="J1149" i="10"/>
  <c r="L1149" i="10" s="1"/>
  <c r="F1149" i="10"/>
  <c r="L1148" i="10"/>
  <c r="J1146" i="10"/>
  <c r="L1146" i="10" s="1"/>
  <c r="F1146" i="10"/>
  <c r="F1145" i="10"/>
  <c r="J1144" i="10"/>
  <c r="F1144" i="10"/>
  <c r="F1143" i="10"/>
  <c r="J1142" i="10"/>
  <c r="L1142" i="10" s="1"/>
  <c r="F1142" i="10"/>
  <c r="F1141" i="10"/>
  <c r="L1140" i="10"/>
  <c r="F1139" i="10"/>
  <c r="J1138" i="10"/>
  <c r="F1138" i="10"/>
  <c r="J1137" i="10"/>
  <c r="L1137" i="10" s="1"/>
  <c r="J1136" i="10"/>
  <c r="L1136" i="10" s="1"/>
  <c r="F1135" i="10"/>
  <c r="J1134" i="10"/>
  <c r="L1134" i="10" s="1"/>
  <c r="F1134" i="10"/>
  <c r="L1133" i="10"/>
  <c r="J1132" i="10"/>
  <c r="L1132" i="10" s="1"/>
  <c r="J1131" i="10"/>
  <c r="L1131" i="10" s="1"/>
  <c r="J1130" i="10"/>
  <c r="L1130" i="10" s="1"/>
  <c r="J1129" i="10"/>
  <c r="L1129" i="10" s="1"/>
  <c r="J1128" i="10"/>
  <c r="L1128" i="10" s="1"/>
  <c r="J1127" i="10"/>
  <c r="F1127" i="10"/>
  <c r="F1126" i="10"/>
  <c r="J1125" i="10"/>
  <c r="L1125" i="10" s="1"/>
  <c r="F1125" i="10"/>
  <c r="F1124" i="10"/>
  <c r="J1123" i="10"/>
  <c r="F1123" i="10"/>
  <c r="F1122" i="10"/>
  <c r="J1121" i="10"/>
  <c r="L1121" i="10" s="1"/>
  <c r="F1121" i="10"/>
  <c r="F1120" i="10"/>
  <c r="J1119" i="10"/>
  <c r="F1119" i="10"/>
  <c r="F1118" i="10"/>
  <c r="J1117" i="10"/>
  <c r="F1117" i="10"/>
  <c r="F1116" i="10"/>
  <c r="L1115" i="10"/>
  <c r="J1112" i="10"/>
  <c r="L1112" i="10" s="1"/>
  <c r="J1110" i="10"/>
  <c r="J1109" i="10"/>
  <c r="J1108" i="10"/>
  <c r="J1107" i="10"/>
  <c r="J1106" i="10"/>
  <c r="F1106" i="10"/>
  <c r="J1105" i="10"/>
  <c r="F1105" i="10"/>
  <c r="J1104" i="10"/>
  <c r="F1104" i="10"/>
  <c r="J1103" i="10"/>
  <c r="F1103" i="10"/>
  <c r="J1102" i="10"/>
  <c r="F1102" i="10"/>
  <c r="J1101" i="10"/>
  <c r="F1101" i="10"/>
  <c r="J1100" i="10"/>
  <c r="F1100" i="10"/>
  <c r="J1099" i="10"/>
  <c r="F1099" i="10"/>
  <c r="J1098" i="10"/>
  <c r="F1098" i="10"/>
  <c r="J1097" i="10"/>
  <c r="F1097" i="10"/>
  <c r="J1096" i="10"/>
  <c r="F1096" i="10"/>
  <c r="J1095" i="10"/>
  <c r="F1095" i="10"/>
  <c r="J1094" i="10"/>
  <c r="F1094" i="10"/>
  <c r="J1092" i="10"/>
  <c r="L1092" i="10" s="1"/>
  <c r="J1089" i="10"/>
  <c r="L1089" i="10" s="1"/>
  <c r="J1088" i="10"/>
  <c r="L1088" i="10" s="1"/>
  <c r="J1087" i="10"/>
  <c r="L1087" i="10" s="1"/>
  <c r="F1086" i="10"/>
  <c r="F1085" i="10"/>
  <c r="F1084" i="10"/>
  <c r="F1083" i="10"/>
  <c r="F1082" i="10"/>
  <c r="F1081" i="10"/>
  <c r="F1080" i="10"/>
  <c r="F1079" i="10"/>
  <c r="F1078" i="10"/>
  <c r="F1077" i="10"/>
  <c r="G1076" i="10"/>
  <c r="F1076" i="10"/>
  <c r="J1076" i="10" s="1"/>
  <c r="G1075" i="10"/>
  <c r="F1075" i="10"/>
  <c r="J1075" i="10" s="1"/>
  <c r="L1074" i="10"/>
  <c r="J1073" i="10"/>
  <c r="J1071" i="10"/>
  <c r="L1071" i="10" s="1"/>
  <c r="J1070" i="10"/>
  <c r="L1070" i="10" s="1"/>
  <c r="F1069" i="10"/>
  <c r="F1068" i="10"/>
  <c r="J1067" i="10"/>
  <c r="L1067" i="10" s="1"/>
  <c r="J1066" i="10"/>
  <c r="L1066" i="10" s="1"/>
  <c r="J1065" i="10"/>
  <c r="L1065" i="10" s="1"/>
  <c r="J1064" i="10"/>
  <c r="L1064" i="10" s="1"/>
  <c r="J1063" i="10"/>
  <c r="L1063" i="10" s="1"/>
  <c r="J1062" i="10"/>
  <c r="L1062" i="10" s="1"/>
  <c r="J1061" i="10"/>
  <c r="L1061" i="10" s="1"/>
  <c r="J1060" i="10"/>
  <c r="L1060" i="10" s="1"/>
  <c r="J1059" i="10"/>
  <c r="L1059" i="10" s="1"/>
  <c r="J1058" i="10"/>
  <c r="L1058" i="10" s="1"/>
  <c r="F1057" i="10"/>
  <c r="F1056" i="10"/>
  <c r="F1055" i="10"/>
  <c r="F1054" i="10"/>
  <c r="F1053" i="10"/>
  <c r="F1052" i="10"/>
  <c r="F1051" i="10"/>
  <c r="F1050" i="10"/>
  <c r="F1049" i="10"/>
  <c r="F1048" i="10"/>
  <c r="F1047" i="10"/>
  <c r="F1046" i="10"/>
  <c r="F1045" i="10"/>
  <c r="F1044" i="10"/>
  <c r="F1043" i="10"/>
  <c r="F1042" i="10"/>
  <c r="J1041" i="10"/>
  <c r="L1041" i="10" s="1"/>
  <c r="J1040" i="10"/>
  <c r="F1040" i="10"/>
  <c r="J1039" i="10"/>
  <c r="F1039" i="10"/>
  <c r="J1038" i="10"/>
  <c r="F1038" i="10"/>
  <c r="J1037" i="10"/>
  <c r="F1037" i="10"/>
  <c r="J1036" i="10"/>
  <c r="F1036" i="10"/>
  <c r="J1035" i="10"/>
  <c r="F1035" i="10"/>
  <c r="J1034" i="10"/>
  <c r="F1034" i="10"/>
  <c r="J1033" i="10"/>
  <c r="F1033" i="10"/>
  <c r="L1032" i="10"/>
  <c r="J1030" i="10"/>
  <c r="L1030" i="10" s="1"/>
  <c r="F1029" i="10"/>
  <c r="J1029" i="10" s="1"/>
  <c r="F1028" i="10"/>
  <c r="J1028" i="10" s="1"/>
  <c r="J1027" i="10"/>
  <c r="F1026" i="10"/>
  <c r="J1025" i="10"/>
  <c r="J1024" i="10"/>
  <c r="J1023" i="10"/>
  <c r="J1022" i="10"/>
  <c r="J1021" i="10"/>
  <c r="J1020" i="10"/>
  <c r="F1020" i="10"/>
  <c r="F1019" i="10"/>
  <c r="J1019" i="10" s="1"/>
  <c r="J1018" i="10"/>
  <c r="F1018" i="10"/>
  <c r="J1017" i="10"/>
  <c r="F1017" i="10"/>
  <c r="J1016" i="10"/>
  <c r="F1016" i="10"/>
  <c r="J1015" i="10"/>
  <c r="F1015" i="10"/>
  <c r="J1014" i="10"/>
  <c r="F1014" i="10"/>
  <c r="J1013" i="10"/>
  <c r="F1013" i="10"/>
  <c r="J1012" i="10"/>
  <c r="F1012" i="10"/>
  <c r="J1011" i="10"/>
  <c r="F1011" i="10"/>
  <c r="J1010" i="10"/>
  <c r="F1010" i="10"/>
  <c r="J1009" i="10"/>
  <c r="F1009" i="10"/>
  <c r="J1008" i="10"/>
  <c r="F1008" i="10"/>
  <c r="L1007" i="10"/>
  <c r="J1005" i="10"/>
  <c r="F1005" i="10"/>
  <c r="J1004" i="10"/>
  <c r="F1004" i="10"/>
  <c r="J1003" i="10"/>
  <c r="F1003" i="10"/>
  <c r="J1002" i="10"/>
  <c r="F1002" i="10"/>
  <c r="J1001" i="10"/>
  <c r="F1001" i="10"/>
  <c r="J1000" i="10"/>
  <c r="F1000" i="10"/>
  <c r="J999" i="10"/>
  <c r="F999" i="10"/>
  <c r="J998" i="10"/>
  <c r="F998" i="10"/>
  <c r="J997" i="10"/>
  <c r="F997" i="10"/>
  <c r="J996" i="10"/>
  <c r="F996" i="10"/>
  <c r="J995" i="10"/>
  <c r="J993" i="10" s="1"/>
  <c r="F995" i="10"/>
  <c r="L994" i="10"/>
  <c r="J992" i="10"/>
  <c r="J991" i="10"/>
  <c r="J990" i="10"/>
  <c r="J989" i="10"/>
  <c r="J988" i="10"/>
  <c r="F988" i="10"/>
  <c r="J987" i="10"/>
  <c r="F987" i="10"/>
  <c r="J986" i="10"/>
  <c r="L986" i="10" s="1"/>
  <c r="J985" i="10"/>
  <c r="L985" i="10" s="1"/>
  <c r="J984" i="10"/>
  <c r="L984" i="10" s="1"/>
  <c r="F983" i="10"/>
  <c r="J983" i="10" s="1"/>
  <c r="F982" i="10"/>
  <c r="J982" i="10" s="1"/>
  <c r="F981" i="10"/>
  <c r="J981" i="10" s="1"/>
  <c r="J980" i="10"/>
  <c r="J979" i="10"/>
  <c r="L979" i="10" s="1"/>
  <c r="F978" i="10"/>
  <c r="J978" i="10" s="1"/>
  <c r="F977" i="10"/>
  <c r="J977" i="10" s="1"/>
  <c r="F976" i="10"/>
  <c r="J976" i="10" s="1"/>
  <c r="F975" i="10"/>
  <c r="J975" i="10" s="1"/>
  <c r="F974" i="10"/>
  <c r="J974" i="10" s="1"/>
  <c r="F973" i="10"/>
  <c r="J973" i="10" s="1"/>
  <c r="F972" i="10"/>
  <c r="J972" i="10" s="1"/>
  <c r="F971" i="10"/>
  <c r="J971" i="10" s="1"/>
  <c r="F970" i="10"/>
  <c r="J970" i="10" s="1"/>
  <c r="F969" i="10"/>
  <c r="J969" i="10" s="1"/>
  <c r="L968" i="10"/>
  <c r="J967" i="10"/>
  <c r="J965" i="10"/>
  <c r="F965" i="10"/>
  <c r="J964" i="10"/>
  <c r="F964" i="10"/>
  <c r="J963" i="10"/>
  <c r="F963" i="10"/>
  <c r="J962" i="10"/>
  <c r="F962" i="10"/>
  <c r="J961" i="10"/>
  <c r="F961" i="10"/>
  <c r="L960" i="10"/>
  <c r="F958" i="10"/>
  <c r="J958" i="10" s="1"/>
  <c r="F957" i="10"/>
  <c r="J957" i="10" s="1"/>
  <c r="F956" i="10"/>
  <c r="J956" i="10" s="1"/>
  <c r="F955" i="10"/>
  <c r="J955" i="10" s="1"/>
  <c r="F954" i="10"/>
  <c r="J954" i="10" s="1"/>
  <c r="F953" i="10"/>
  <c r="J953" i="10" s="1"/>
  <c r="F952" i="10"/>
  <c r="J952" i="10" s="1"/>
  <c r="F951" i="10"/>
  <c r="J951" i="10" s="1"/>
  <c r="L950" i="10"/>
  <c r="J948" i="10"/>
  <c r="L948" i="10" s="1"/>
  <c r="J947" i="10"/>
  <c r="L947" i="10" s="1"/>
  <c r="F946" i="10"/>
  <c r="J946" i="10" s="1"/>
  <c r="F945" i="10"/>
  <c r="J945" i="10" s="1"/>
  <c r="F944" i="10"/>
  <c r="J944" i="10" s="1"/>
  <c r="F943" i="10"/>
  <c r="J943" i="10" s="1"/>
  <c r="F942" i="10"/>
  <c r="J942" i="10" s="1"/>
  <c r="F941" i="10"/>
  <c r="J941" i="10" s="1"/>
  <c r="F940" i="10"/>
  <c r="J940" i="10" s="1"/>
  <c r="L939" i="10"/>
  <c r="F937" i="10"/>
  <c r="J937" i="10" s="1"/>
  <c r="J936" i="10"/>
  <c r="L936" i="10" s="1"/>
  <c r="J935" i="10"/>
  <c r="J934" i="10"/>
  <c r="L934" i="10" s="1"/>
  <c r="J933" i="10"/>
  <c r="L933" i="10" s="1"/>
  <c r="J932" i="10"/>
  <c r="F932" i="10"/>
  <c r="J931" i="10"/>
  <c r="L931" i="10" s="1"/>
  <c r="J930" i="10"/>
  <c r="L930" i="10" s="1"/>
  <c r="J929" i="10"/>
  <c r="L929" i="10" s="1"/>
  <c r="F928" i="10"/>
  <c r="J928" i="10" s="1"/>
  <c r="F927" i="10"/>
  <c r="J927" i="10" s="1"/>
  <c r="F926" i="10"/>
  <c r="J926" i="10" s="1"/>
  <c r="F925" i="10"/>
  <c r="J925" i="10" s="1"/>
  <c r="J924" i="10"/>
  <c r="F924" i="10"/>
  <c r="J923" i="10"/>
  <c r="F923" i="10"/>
  <c r="J922" i="10"/>
  <c r="F922" i="10"/>
  <c r="J921" i="10"/>
  <c r="F921" i="10"/>
  <c r="J920" i="10"/>
  <c r="F920" i="10"/>
  <c r="J919" i="10"/>
  <c r="F919" i="10"/>
  <c r="J918" i="10"/>
  <c r="F918" i="10"/>
  <c r="J917" i="10"/>
  <c r="F917" i="10"/>
  <c r="L916" i="10"/>
  <c r="J914" i="10"/>
  <c r="L914" i="10" s="1"/>
  <c r="J913" i="10"/>
  <c r="L913" i="10" s="1"/>
  <c r="J912" i="10"/>
  <c r="F912" i="10"/>
  <c r="J911" i="10"/>
  <c r="F911" i="10"/>
  <c r="J910" i="10"/>
  <c r="F910" i="10"/>
  <c r="J909" i="10"/>
  <c r="F909" i="10"/>
  <c r="J908" i="10"/>
  <c r="F908" i="10"/>
  <c r="J907" i="10"/>
  <c r="F907" i="10"/>
  <c r="L906" i="10"/>
  <c r="J904" i="10"/>
  <c r="L904" i="10" s="1"/>
  <c r="F903" i="10"/>
  <c r="J903" i="10" s="1"/>
  <c r="F902" i="10"/>
  <c r="J902" i="10" s="1"/>
  <c r="F901" i="10"/>
  <c r="J901" i="10" s="1"/>
  <c r="F900" i="10"/>
  <c r="J900" i="10" s="1"/>
  <c r="G899" i="10"/>
  <c r="F899" i="10"/>
  <c r="J899" i="10" s="1"/>
  <c r="L898" i="10"/>
  <c r="J896" i="10"/>
  <c r="L896" i="10" s="1"/>
  <c r="J895" i="10"/>
  <c r="J894" i="10"/>
  <c r="L894" i="10" s="1"/>
  <c r="F893" i="10"/>
  <c r="J893" i="10" s="1"/>
  <c r="F892" i="10"/>
  <c r="J892" i="10" s="1"/>
  <c r="F891" i="10"/>
  <c r="J891" i="10" s="1"/>
  <c r="F890" i="10"/>
  <c r="J890" i="10" s="1"/>
  <c r="J889" i="10"/>
  <c r="F889" i="10"/>
  <c r="J888" i="10"/>
  <c r="F888" i="10"/>
  <c r="J887" i="10"/>
  <c r="F887" i="10"/>
  <c r="J886" i="10"/>
  <c r="F886" i="10"/>
  <c r="J885" i="10"/>
  <c r="F885" i="10"/>
  <c r="J884" i="10"/>
  <c r="F884" i="10"/>
  <c r="J883" i="10"/>
  <c r="F883" i="10"/>
  <c r="J882" i="10"/>
  <c r="F882" i="10"/>
  <c r="J881" i="10"/>
  <c r="F881" i="10"/>
  <c r="J880" i="10"/>
  <c r="F880" i="10"/>
  <c r="J879" i="10"/>
  <c r="F879" i="10"/>
  <c r="L878" i="10"/>
  <c r="J876" i="10"/>
  <c r="L876" i="10" s="1"/>
  <c r="J875" i="10"/>
  <c r="J874" i="10"/>
  <c r="F874" i="10"/>
  <c r="J873" i="10"/>
  <c r="F873" i="10"/>
  <c r="J872" i="10"/>
  <c r="F872" i="10"/>
  <c r="J871" i="10"/>
  <c r="F871" i="10"/>
  <c r="F870" i="10"/>
  <c r="J870" i="10" s="1"/>
  <c r="F869" i="10"/>
  <c r="J869" i="10" s="1"/>
  <c r="F868" i="10"/>
  <c r="J868" i="10" s="1"/>
  <c r="L867" i="10"/>
  <c r="J865" i="10"/>
  <c r="J864" i="10"/>
  <c r="L864" i="10" s="1"/>
  <c r="F863" i="10"/>
  <c r="J863" i="10" s="1"/>
  <c r="F862" i="10"/>
  <c r="J862" i="10" s="1"/>
  <c r="F861" i="10"/>
  <c r="J861" i="10" s="1"/>
  <c r="F860" i="10"/>
  <c r="J860" i="10" s="1"/>
  <c r="F859" i="10"/>
  <c r="J859" i="10" s="1"/>
  <c r="F858" i="10"/>
  <c r="J858" i="10" s="1"/>
  <c r="J857" i="10"/>
  <c r="F857" i="10"/>
  <c r="F856" i="10"/>
  <c r="J856" i="10" s="1"/>
  <c r="F855" i="10"/>
  <c r="J855" i="10" s="1"/>
  <c r="F854" i="10"/>
  <c r="J854" i="10" s="1"/>
  <c r="F853" i="10"/>
  <c r="J853" i="10" s="1"/>
  <c r="F852" i="10"/>
  <c r="J852" i="10" s="1"/>
  <c r="J851" i="10"/>
  <c r="F851" i="10"/>
  <c r="J850" i="10"/>
  <c r="F850" i="10"/>
  <c r="J849" i="10"/>
  <c r="F849" i="10"/>
  <c r="L848" i="10"/>
  <c r="J846" i="10"/>
  <c r="J845" i="10"/>
  <c r="J844" i="10"/>
  <c r="F844" i="10"/>
  <c r="J843" i="10"/>
  <c r="F843" i="10"/>
  <c r="J842" i="10"/>
  <c r="F842" i="10"/>
  <c r="F841" i="10"/>
  <c r="J841" i="10" s="1"/>
  <c r="F840" i="10"/>
  <c r="J840" i="10" s="1"/>
  <c r="F839" i="10"/>
  <c r="J839" i="10" s="1"/>
  <c r="F838" i="10"/>
  <c r="J838" i="10" s="1"/>
  <c r="L837" i="10"/>
  <c r="J835" i="10"/>
  <c r="J834" i="10"/>
  <c r="J833" i="10"/>
  <c r="J823" i="10" s="1"/>
  <c r="J832" i="10"/>
  <c r="F832" i="10"/>
  <c r="J831" i="10"/>
  <c r="F831" i="10"/>
  <c r="J830" i="10"/>
  <c r="F830" i="10"/>
  <c r="J829" i="10"/>
  <c r="F829" i="10"/>
  <c r="J828" i="10"/>
  <c r="F828" i="10"/>
  <c r="J827" i="10"/>
  <c r="F827" i="10"/>
  <c r="J826" i="10"/>
  <c r="F826" i="10"/>
  <c r="J825" i="10"/>
  <c r="F825" i="10"/>
  <c r="L824" i="10"/>
  <c r="F824" i="10"/>
  <c r="J822" i="10"/>
  <c r="J821" i="10"/>
  <c r="F820" i="10"/>
  <c r="J820" i="10" s="1"/>
  <c r="F819" i="10"/>
  <c r="J819" i="10" s="1"/>
  <c r="F818" i="10"/>
  <c r="J818" i="10" s="1"/>
  <c r="F817" i="10"/>
  <c r="J817" i="10" s="1"/>
  <c r="J816" i="10"/>
  <c r="F816" i="10"/>
  <c r="J815" i="10"/>
  <c r="F815" i="10"/>
  <c r="L814" i="10"/>
  <c r="J812" i="10"/>
  <c r="F812" i="10"/>
  <c r="J811" i="10"/>
  <c r="F811" i="10"/>
  <c r="J810" i="10"/>
  <c r="F810" i="10"/>
  <c r="J809" i="10"/>
  <c r="F809" i="10"/>
  <c r="J808" i="10"/>
  <c r="F808" i="10"/>
  <c r="J807" i="10"/>
  <c r="F807" i="10"/>
  <c r="J806" i="10"/>
  <c r="F806" i="10"/>
  <c r="J805" i="10"/>
  <c r="F805" i="10"/>
  <c r="J804" i="10"/>
  <c r="F804" i="10"/>
  <c r="J803" i="10"/>
  <c r="F803" i="10"/>
  <c r="F802" i="10"/>
  <c r="J802" i="10" s="1"/>
  <c r="F801" i="10"/>
  <c r="J801" i="10" s="1"/>
  <c r="F800" i="10"/>
  <c r="J800" i="10" s="1"/>
  <c r="F799" i="10"/>
  <c r="J799" i="10" s="1"/>
  <c r="F798" i="10"/>
  <c r="J798" i="10" s="1"/>
  <c r="L797" i="10"/>
  <c r="J795" i="10"/>
  <c r="J794" i="10"/>
  <c r="F794" i="10"/>
  <c r="J793" i="10"/>
  <c r="F793" i="10"/>
  <c r="J792" i="10"/>
  <c r="F792" i="10"/>
  <c r="L791" i="10"/>
  <c r="J789" i="10"/>
  <c r="F789" i="10"/>
  <c r="J788" i="10"/>
  <c r="L788" i="10" s="1"/>
  <c r="F788" i="10"/>
  <c r="J787" i="10"/>
  <c r="L787" i="10" s="1"/>
  <c r="F787" i="10"/>
  <c r="J786" i="10"/>
  <c r="L786" i="10" s="1"/>
  <c r="F786" i="10"/>
  <c r="J785" i="10"/>
  <c r="L785" i="10" s="1"/>
  <c r="F785" i="10"/>
  <c r="J784" i="10"/>
  <c r="J782" i="10" s="1"/>
  <c r="L782" i="10" s="1"/>
  <c r="F784" i="10"/>
  <c r="L783" i="10"/>
  <c r="J781" i="10"/>
  <c r="L781" i="10" s="1"/>
  <c r="F781" i="10"/>
  <c r="J780" i="10"/>
  <c r="L780" i="10" s="1"/>
  <c r="F780" i="10"/>
  <c r="J779" i="10"/>
  <c r="L779" i="10" s="1"/>
  <c r="F779" i="10"/>
  <c r="J778" i="10"/>
  <c r="L778" i="10" s="1"/>
  <c r="F778" i="10"/>
  <c r="J777" i="10"/>
  <c r="J775" i="10" s="1"/>
  <c r="L775" i="10" s="1"/>
  <c r="F777" i="10"/>
  <c r="L776" i="10"/>
  <c r="J774" i="10"/>
  <c r="L774" i="10" s="1"/>
  <c r="F774" i="10"/>
  <c r="J773" i="10"/>
  <c r="J772" i="10"/>
  <c r="J771" i="10"/>
  <c r="L771" i="10" s="1"/>
  <c r="F771" i="10"/>
  <c r="J770" i="10"/>
  <c r="L770" i="10" s="1"/>
  <c r="F770" i="10"/>
  <c r="J769" i="10"/>
  <c r="L769" i="10" s="1"/>
  <c r="F769" i="10"/>
  <c r="J768" i="10"/>
  <c r="L768" i="10" s="1"/>
  <c r="F768" i="10"/>
  <c r="J767" i="10"/>
  <c r="L767" i="10" s="1"/>
  <c r="F767" i="10"/>
  <c r="J766" i="10"/>
  <c r="L766" i="10" s="1"/>
  <c r="F766" i="10"/>
  <c r="J765" i="10"/>
  <c r="F765" i="10"/>
  <c r="L764" i="10"/>
  <c r="J762" i="10"/>
  <c r="L762" i="10" s="1"/>
  <c r="F762" i="10"/>
  <c r="J761" i="10"/>
  <c r="F761" i="10"/>
  <c r="J760" i="10"/>
  <c r="F760" i="10"/>
  <c r="J759" i="10"/>
  <c r="J757" i="10" s="1"/>
  <c r="L757" i="10" s="1"/>
  <c r="F759" i="10"/>
  <c r="L758" i="10"/>
  <c r="J756" i="10"/>
  <c r="J755" i="10"/>
  <c r="J754" i="10"/>
  <c r="F753" i="10"/>
  <c r="J753" i="10" s="1"/>
  <c r="F752" i="10"/>
  <c r="J752" i="10" s="1"/>
  <c r="F751" i="10"/>
  <c r="J751" i="10" s="1"/>
  <c r="F750" i="10"/>
  <c r="J750" i="10" s="1"/>
  <c r="F749" i="10"/>
  <c r="J749" i="10" s="1"/>
  <c r="F748" i="10"/>
  <c r="J748" i="10" s="1"/>
  <c r="F747" i="10"/>
  <c r="J747" i="10" s="1"/>
  <c r="F746" i="10"/>
  <c r="J746" i="10" s="1"/>
  <c r="L745" i="10"/>
  <c r="J743" i="10"/>
  <c r="J742" i="10"/>
  <c r="J741" i="10"/>
  <c r="J740" i="10"/>
  <c r="J739" i="10"/>
  <c r="J738" i="10"/>
  <c r="F737" i="10"/>
  <c r="J737" i="10" s="1"/>
  <c r="F736" i="10"/>
  <c r="J736" i="10" s="1"/>
  <c r="F735" i="10"/>
  <c r="J735" i="10" s="1"/>
  <c r="J734" i="10"/>
  <c r="L734" i="10" s="1"/>
  <c r="J733" i="10"/>
  <c r="L733" i="10" s="1"/>
  <c r="F732" i="10"/>
  <c r="J732" i="10" s="1"/>
  <c r="F731" i="10"/>
  <c r="J731" i="10" s="1"/>
  <c r="F730" i="10"/>
  <c r="J730" i="10" s="1"/>
  <c r="F729" i="10"/>
  <c r="J729" i="10" s="1"/>
  <c r="F728" i="10"/>
  <c r="J728" i="10" s="1"/>
  <c r="F727" i="10"/>
  <c r="J727" i="10" s="1"/>
  <c r="F726" i="10"/>
  <c r="J726" i="10" s="1"/>
  <c r="L725" i="10"/>
  <c r="L723" i="10"/>
  <c r="F723" i="10"/>
  <c r="J722" i="10"/>
  <c r="J721" i="10"/>
  <c r="J720" i="10"/>
  <c r="F719" i="10"/>
  <c r="J719" i="10" s="1"/>
  <c r="F718" i="10"/>
  <c r="J718" i="10" s="1"/>
  <c r="J717" i="10"/>
  <c r="J716" i="10"/>
  <c r="J715" i="10"/>
  <c r="J714" i="10"/>
  <c r="F714" i="10"/>
  <c r="J713" i="10"/>
  <c r="F713" i="10"/>
  <c r="J712" i="10"/>
  <c r="F712" i="10"/>
  <c r="J711" i="10"/>
  <c r="F711" i="10"/>
  <c r="J710" i="10"/>
  <c r="F710" i="10"/>
  <c r="J709" i="10"/>
  <c r="J708" i="10"/>
  <c r="J707" i="10"/>
  <c r="F706" i="10"/>
  <c r="J706" i="10" s="1"/>
  <c r="J705" i="10"/>
  <c r="L705" i="10" s="1"/>
  <c r="J704" i="10"/>
  <c r="F704" i="10"/>
  <c r="J703" i="10"/>
  <c r="F703" i="10"/>
  <c r="J702" i="10"/>
  <c r="F702" i="10"/>
  <c r="J701" i="10"/>
  <c r="F701" i="10"/>
  <c r="J700" i="10"/>
  <c r="F700" i="10"/>
  <c r="L699" i="10"/>
  <c r="J697" i="10"/>
  <c r="F697" i="10"/>
  <c r="J696" i="10"/>
  <c r="F696" i="10"/>
  <c r="J695" i="10"/>
  <c r="F695" i="10"/>
  <c r="J694" i="10"/>
  <c r="F694" i="10"/>
  <c r="J693" i="10"/>
  <c r="F693" i="10"/>
  <c r="J692" i="10"/>
  <c r="J690" i="10" s="1"/>
  <c r="F692" i="10"/>
  <c r="L691" i="10"/>
  <c r="J689" i="10"/>
  <c r="F689" i="10"/>
  <c r="J688" i="10"/>
  <c r="F688" i="10"/>
  <c r="J687" i="10"/>
  <c r="F687" i="10"/>
  <c r="J686" i="10"/>
  <c r="F686" i="10"/>
  <c r="J685" i="10"/>
  <c r="F685" i="10"/>
  <c r="J684" i="10"/>
  <c r="F684" i="10"/>
  <c r="J683" i="10"/>
  <c r="F683" i="10"/>
  <c r="J682" i="10"/>
  <c r="J680" i="10" s="1"/>
  <c r="F682" i="10"/>
  <c r="L681" i="10"/>
  <c r="L679" i="10"/>
  <c r="J678" i="10"/>
  <c r="F677" i="10"/>
  <c r="J677" i="10" s="1"/>
  <c r="F676" i="10"/>
  <c r="J676" i="10" s="1"/>
  <c r="F675" i="10"/>
  <c r="F674" i="10"/>
  <c r="J674" i="10" s="1"/>
  <c r="F673" i="10"/>
  <c r="J673" i="10" s="1"/>
  <c r="F672" i="10"/>
  <c r="J672" i="10" s="1"/>
  <c r="F671" i="10"/>
  <c r="J671" i="10" s="1"/>
  <c r="F670" i="10"/>
  <c r="J670" i="10" s="1"/>
  <c r="F669" i="10"/>
  <c r="J669" i="10" s="1"/>
  <c r="L668" i="10"/>
  <c r="J665" i="10"/>
  <c r="J664" i="10" s="1"/>
  <c r="F663" i="10"/>
  <c r="J663" i="10" s="1"/>
  <c r="J662" i="10"/>
  <c r="F662" i="10"/>
  <c r="F661" i="10"/>
  <c r="J661" i="10" s="1"/>
  <c r="J660" i="10"/>
  <c r="F660" i="10"/>
  <c r="F659" i="10"/>
  <c r="J659" i="10" s="1"/>
  <c r="F656" i="10"/>
  <c r="J656" i="10" s="1"/>
  <c r="J655" i="10"/>
  <c r="F655" i="10"/>
  <c r="F654" i="10"/>
  <c r="J654" i="10" s="1"/>
  <c r="J653" i="10"/>
  <c r="F653" i="10"/>
  <c r="F652" i="10"/>
  <c r="J652" i="10" s="1"/>
  <c r="J651" i="10"/>
  <c r="F651" i="10"/>
  <c r="F650" i="10"/>
  <c r="J650" i="10" s="1"/>
  <c r="J649" i="10"/>
  <c r="F649" i="10"/>
  <c r="F648" i="10"/>
  <c r="J648" i="10" s="1"/>
  <c r="J647" i="10"/>
  <c r="F647" i="10"/>
  <c r="F646" i="10"/>
  <c r="J646" i="10" s="1"/>
  <c r="J645" i="10"/>
  <c r="F645" i="10"/>
  <c r="J643" i="10"/>
  <c r="F643" i="10"/>
  <c r="J641" i="10"/>
  <c r="J640" i="10"/>
  <c r="J639" i="10"/>
  <c r="J638" i="10"/>
  <c r="J637" i="10"/>
  <c r="F636" i="10"/>
  <c r="J636" i="10" s="1"/>
  <c r="J635" i="10"/>
  <c r="F635" i="10"/>
  <c r="J634" i="10"/>
  <c r="J632" i="10"/>
  <c r="J630" i="10"/>
  <c r="J629" i="10"/>
  <c r="F629" i="10"/>
  <c r="J628" i="10"/>
  <c r="L628" i="10" s="1"/>
  <c r="F628" i="10"/>
  <c r="J627" i="10"/>
  <c r="F627" i="10"/>
  <c r="J626" i="10"/>
  <c r="L626" i="10" s="1"/>
  <c r="F626" i="10"/>
  <c r="J625" i="10"/>
  <c r="F625" i="10"/>
  <c r="J624" i="10"/>
  <c r="L624" i="10" s="1"/>
  <c r="F624" i="10"/>
  <c r="J623" i="10"/>
  <c r="F623" i="10"/>
  <c r="J622" i="10"/>
  <c r="L622" i="10" s="1"/>
  <c r="F622" i="10"/>
  <c r="J621" i="10"/>
  <c r="F621" i="10"/>
  <c r="J620" i="10"/>
  <c r="L620" i="10" s="1"/>
  <c r="F620" i="10"/>
  <c r="J619" i="10"/>
  <c r="F619" i="10"/>
  <c r="J618" i="10"/>
  <c r="L618" i="10" s="1"/>
  <c r="F618" i="10"/>
  <c r="L617" i="10"/>
  <c r="L615" i="10"/>
  <c r="J614" i="10"/>
  <c r="F613" i="10"/>
  <c r="J613" i="10" s="1"/>
  <c r="F612" i="10"/>
  <c r="J612" i="10" s="1"/>
  <c r="F611" i="10"/>
  <c r="J611" i="10" s="1"/>
  <c r="L610" i="10"/>
  <c r="J608" i="10"/>
  <c r="J607" i="10"/>
  <c r="J606" i="10"/>
  <c r="F605" i="10"/>
  <c r="J605" i="10" s="1"/>
  <c r="J604" i="10"/>
  <c r="L604" i="10" s="1"/>
  <c r="G603" i="10"/>
  <c r="F603" i="10"/>
  <c r="J603" i="10" s="1"/>
  <c r="F602" i="10"/>
  <c r="J602" i="10" s="1"/>
  <c r="J601" i="10"/>
  <c r="J600" i="10"/>
  <c r="L600" i="10" s="1"/>
  <c r="F600" i="10"/>
  <c r="J599" i="10"/>
  <c r="F599" i="10"/>
  <c r="J598" i="10"/>
  <c r="L598" i="10" s="1"/>
  <c r="F598" i="10"/>
  <c r="J597" i="10"/>
  <c r="F597" i="10"/>
  <c r="J596" i="10"/>
  <c r="L596" i="10" s="1"/>
  <c r="F596" i="10"/>
  <c r="J595" i="10"/>
  <c r="F595" i="10"/>
  <c r="J594" i="10"/>
  <c r="L594" i="10" s="1"/>
  <c r="F594" i="10"/>
  <c r="L593" i="10"/>
  <c r="J591" i="10"/>
  <c r="J590" i="10"/>
  <c r="J589" i="10"/>
  <c r="J588" i="10"/>
  <c r="J587" i="10"/>
  <c r="J586" i="10"/>
  <c r="J585" i="10"/>
  <c r="J584" i="10"/>
  <c r="F583" i="10"/>
  <c r="J583" i="10" s="1"/>
  <c r="J582" i="10"/>
  <c r="F582" i="10"/>
  <c r="L581" i="10"/>
  <c r="H580" i="10"/>
  <c r="J580" i="10" s="1"/>
  <c r="F578" i="10"/>
  <c r="J578" i="10" s="1"/>
  <c r="J577" i="10"/>
  <c r="L577" i="10" s="1"/>
  <c r="J576" i="10"/>
  <c r="L576" i="10" s="1"/>
  <c r="J575" i="10"/>
  <c r="J574" i="10"/>
  <c r="L574" i="10" s="1"/>
  <c r="J573" i="10"/>
  <c r="L573" i="10" s="1"/>
  <c r="J572" i="10"/>
  <c r="F572" i="10"/>
  <c r="J571" i="10"/>
  <c r="F571" i="10"/>
  <c r="J570" i="10"/>
  <c r="L570" i="10" s="1"/>
  <c r="J569" i="10"/>
  <c r="G568" i="10"/>
  <c r="F568" i="10"/>
  <c r="J568" i="10" s="1"/>
  <c r="L568" i="10" s="1"/>
  <c r="F567" i="10"/>
  <c r="J567" i="10" s="1"/>
  <c r="J566" i="10"/>
  <c r="J565" i="10"/>
  <c r="F565" i="10"/>
  <c r="J564" i="10"/>
  <c r="F564" i="10"/>
  <c r="J563" i="10"/>
  <c r="F563" i="10"/>
  <c r="J562" i="10"/>
  <c r="F562" i="10"/>
  <c r="J561" i="10"/>
  <c r="F561" i="10"/>
  <c r="J560" i="10"/>
  <c r="F560" i="10"/>
  <c r="J559" i="10"/>
  <c r="F559" i="10"/>
  <c r="J558" i="10"/>
  <c r="F558" i="10"/>
  <c r="J557" i="10"/>
  <c r="F557" i="10"/>
  <c r="L556" i="10"/>
  <c r="J554" i="10"/>
  <c r="F554" i="10"/>
  <c r="J553" i="10"/>
  <c r="L553" i="10" s="1"/>
  <c r="J552" i="10"/>
  <c r="L552" i="10" s="1"/>
  <c r="J551" i="10"/>
  <c r="F551" i="10"/>
  <c r="J550" i="10"/>
  <c r="L550" i="10" s="1"/>
  <c r="J549" i="10"/>
  <c r="L549" i="10" s="1"/>
  <c r="J548" i="10"/>
  <c r="L548" i="10" s="1"/>
  <c r="J547" i="10"/>
  <c r="L547" i="10" s="1"/>
  <c r="J546" i="10"/>
  <c r="L546" i="10" s="1"/>
  <c r="F545" i="10"/>
  <c r="F544" i="10"/>
  <c r="F543" i="10"/>
  <c r="F542" i="10"/>
  <c r="F541" i="10"/>
  <c r="F540" i="10"/>
  <c r="F539" i="10"/>
  <c r="F538" i="10"/>
  <c r="L537" i="10"/>
  <c r="J535" i="10"/>
  <c r="L535" i="10" s="1"/>
  <c r="J534" i="10"/>
  <c r="F534" i="10"/>
  <c r="J533" i="10"/>
  <c r="L533" i="10" s="1"/>
  <c r="F532" i="10"/>
  <c r="F531" i="10"/>
  <c r="F530" i="10"/>
  <c r="F529" i="10"/>
  <c r="F528" i="10"/>
  <c r="F527" i="10"/>
  <c r="F526" i="10"/>
  <c r="L525" i="10"/>
  <c r="J523" i="10"/>
  <c r="J522" i="10"/>
  <c r="L522" i="10" s="1"/>
  <c r="F522" i="10"/>
  <c r="J521" i="10"/>
  <c r="L521" i="10" s="1"/>
  <c r="F521" i="10"/>
  <c r="J520" i="10"/>
  <c r="L520" i="10" s="1"/>
  <c r="F520" i="10"/>
  <c r="J519" i="10"/>
  <c r="L519" i="10" s="1"/>
  <c r="F519" i="10"/>
  <c r="J518" i="10"/>
  <c r="L518" i="10" s="1"/>
  <c r="F518" i="10"/>
  <c r="J517" i="10"/>
  <c r="L517" i="10" s="1"/>
  <c r="F517" i="10"/>
  <c r="J516" i="10"/>
  <c r="L516" i="10" s="1"/>
  <c r="F516" i="10"/>
  <c r="L515" i="10"/>
  <c r="J513" i="10"/>
  <c r="J512" i="10"/>
  <c r="J511" i="10"/>
  <c r="F511" i="10"/>
  <c r="J510" i="10"/>
  <c r="L510" i="10" s="1"/>
  <c r="F510" i="10"/>
  <c r="J509" i="10"/>
  <c r="L509" i="10" s="1"/>
  <c r="F509" i="10"/>
  <c r="J508" i="10"/>
  <c r="L508" i="10" s="1"/>
  <c r="F508" i="10"/>
  <c r="J507" i="10"/>
  <c r="L507" i="10" s="1"/>
  <c r="F507" i="10"/>
  <c r="J506" i="10"/>
  <c r="L506" i="10" s="1"/>
  <c r="F506" i="10"/>
  <c r="J505" i="10"/>
  <c r="L505" i="10" s="1"/>
  <c r="F505" i="10"/>
  <c r="F504" i="10"/>
  <c r="J503" i="10"/>
  <c r="F503" i="10"/>
  <c r="J502" i="10"/>
  <c r="F502" i="10"/>
  <c r="J501" i="10"/>
  <c r="F501" i="10"/>
  <c r="J500" i="10"/>
  <c r="F500" i="10"/>
  <c r="J499" i="10"/>
  <c r="F499" i="10"/>
  <c r="L498" i="10"/>
  <c r="J496" i="10"/>
  <c r="J485" i="10" s="1"/>
  <c r="L485" i="10" s="1"/>
  <c r="J495" i="10"/>
  <c r="F495" i="10"/>
  <c r="J494" i="10"/>
  <c r="F494" i="10"/>
  <c r="J493" i="10"/>
  <c r="F493" i="10"/>
  <c r="J492" i="10"/>
  <c r="F492" i="10"/>
  <c r="J491" i="10"/>
  <c r="F491" i="10"/>
  <c r="J490" i="10"/>
  <c r="F490" i="10"/>
  <c r="J489" i="10"/>
  <c r="F489" i="10"/>
  <c r="J488" i="10"/>
  <c r="F488" i="10"/>
  <c r="J487" i="10"/>
  <c r="F487" i="10"/>
  <c r="J484" i="10"/>
  <c r="L484" i="10" s="1"/>
  <c r="J483" i="10"/>
  <c r="L483" i="10" s="1"/>
  <c r="F482" i="10"/>
  <c r="F481" i="10"/>
  <c r="F480" i="10"/>
  <c r="F479" i="10"/>
  <c r="F478" i="10"/>
  <c r="F477" i="10"/>
  <c r="F476" i="10"/>
  <c r="L475" i="10"/>
  <c r="L473" i="10"/>
  <c r="J472" i="10"/>
  <c r="L472" i="10" s="1"/>
  <c r="J470" i="10"/>
  <c r="L470" i="10" s="1"/>
  <c r="J469" i="10"/>
  <c r="F469" i="10"/>
  <c r="J468" i="10"/>
  <c r="F468" i="10"/>
  <c r="J467" i="10"/>
  <c r="F467" i="10"/>
  <c r="J466" i="10"/>
  <c r="F466" i="10"/>
  <c r="J465" i="10"/>
  <c r="F465" i="10"/>
  <c r="J464" i="10"/>
  <c r="F464" i="10"/>
  <c r="J463" i="10"/>
  <c r="F463" i="10"/>
  <c r="J462" i="10"/>
  <c r="F462" i="10"/>
  <c r="J461" i="10"/>
  <c r="F461" i="10"/>
  <c r="J460" i="10"/>
  <c r="F460" i="10"/>
  <c r="J459" i="10"/>
  <c r="F459" i="10"/>
  <c r="J458" i="10"/>
  <c r="F458" i="10"/>
  <c r="L457" i="10"/>
  <c r="J456" i="10"/>
  <c r="L456" i="10" s="1"/>
  <c r="J455" i="10"/>
  <c r="L455" i="10" s="1"/>
  <c r="J454" i="10"/>
  <c r="L454" i="10" s="1"/>
  <c r="F453" i="10"/>
  <c r="F452" i="10"/>
  <c r="F451" i="10"/>
  <c r="F450" i="10"/>
  <c r="F449" i="10"/>
  <c r="F448" i="10"/>
  <c r="F447" i="10"/>
  <c r="F446" i="10"/>
  <c r="L445" i="10"/>
  <c r="J443" i="10"/>
  <c r="L443" i="10" s="1"/>
  <c r="F442" i="10"/>
  <c r="F441" i="10"/>
  <c r="F440" i="10"/>
  <c r="F439" i="10"/>
  <c r="F438" i="10"/>
  <c r="F437" i="10"/>
  <c r="F436" i="10"/>
  <c r="L435" i="10"/>
  <c r="J433" i="10"/>
  <c r="L433" i="10" s="1"/>
  <c r="F433" i="10"/>
  <c r="J432" i="10"/>
  <c r="L432" i="10" s="1"/>
  <c r="F432" i="10"/>
  <c r="J431" i="10"/>
  <c r="J430" i="10"/>
  <c r="J429" i="10"/>
  <c r="L429" i="10" s="1"/>
  <c r="F429" i="10"/>
  <c r="J428" i="10"/>
  <c r="F427" i="10"/>
  <c r="F426" i="10"/>
  <c r="F425" i="10"/>
  <c r="F424" i="10"/>
  <c r="F423" i="10"/>
  <c r="J423" i="10" s="1"/>
  <c r="F422" i="10"/>
  <c r="J422" i="10" s="1"/>
  <c r="F421" i="10"/>
  <c r="J421" i="10" s="1"/>
  <c r="F420" i="10"/>
  <c r="J420" i="10" s="1"/>
  <c r="F419" i="10"/>
  <c r="J419" i="10" s="1"/>
  <c r="F418" i="10"/>
  <c r="J418" i="10" s="1"/>
  <c r="F417" i="10"/>
  <c r="J417" i="10" s="1"/>
  <c r="F416" i="10"/>
  <c r="J416" i="10" s="1"/>
  <c r="F415" i="10"/>
  <c r="J415" i="10" s="1"/>
  <c r="F414" i="10"/>
  <c r="J414" i="10" s="1"/>
  <c r="F413" i="10"/>
  <c r="J413" i="10" s="1"/>
  <c r="L412" i="10"/>
  <c r="J410" i="10"/>
  <c r="J409" i="10"/>
  <c r="J408" i="10"/>
  <c r="F407" i="10"/>
  <c r="J407" i="10" s="1"/>
  <c r="F406" i="10"/>
  <c r="J406" i="10" s="1"/>
  <c r="F405" i="10"/>
  <c r="J405" i="10" s="1"/>
  <c r="F404" i="10"/>
  <c r="J404" i="10" s="1"/>
  <c r="F403" i="10"/>
  <c r="J403" i="10" s="1"/>
  <c r="F402" i="10"/>
  <c r="J402" i="10" s="1"/>
  <c r="F401" i="10"/>
  <c r="J401" i="10" s="1"/>
  <c r="F400" i="10"/>
  <c r="J400" i="10" s="1"/>
  <c r="F399" i="10"/>
  <c r="J399" i="10" s="1"/>
  <c r="F398" i="10"/>
  <c r="J398" i="10" s="1"/>
  <c r="F397" i="10"/>
  <c r="J397" i="10" s="1"/>
  <c r="F396" i="10"/>
  <c r="J396" i="10" s="1"/>
  <c r="L395" i="10"/>
  <c r="J393" i="10"/>
  <c r="J392" i="10"/>
  <c r="J391" i="10"/>
  <c r="F390" i="10"/>
  <c r="J390" i="10" s="1"/>
  <c r="F389" i="10"/>
  <c r="J389" i="10" s="1"/>
  <c r="F388" i="10"/>
  <c r="J388" i="10" s="1"/>
  <c r="F387" i="10"/>
  <c r="J387" i="10" s="1"/>
  <c r="F386" i="10"/>
  <c r="J386" i="10" s="1"/>
  <c r="J385" i="10"/>
  <c r="J384" i="10"/>
  <c r="F384" i="10"/>
  <c r="J383" i="10"/>
  <c r="L383" i="10" s="1"/>
  <c r="F383" i="10"/>
  <c r="J382" i="10"/>
  <c r="F382" i="10"/>
  <c r="G381" i="10"/>
  <c r="F381" i="10"/>
  <c r="J381" i="10" s="1"/>
  <c r="G380" i="10"/>
  <c r="F380" i="10"/>
  <c r="G379" i="10"/>
  <c r="F379" i="10"/>
  <c r="J379" i="10" s="1"/>
  <c r="G378" i="10"/>
  <c r="F378" i="10"/>
  <c r="J378" i="10" s="1"/>
  <c r="L378" i="10" s="1"/>
  <c r="L377" i="10"/>
  <c r="J376" i="10"/>
  <c r="J375" i="10"/>
  <c r="F374" i="10"/>
  <c r="J374" i="10" s="1"/>
  <c r="F373" i="10"/>
  <c r="J373" i="10" s="1"/>
  <c r="J372" i="10"/>
  <c r="J371" i="10"/>
  <c r="L371" i="10" s="1"/>
  <c r="F371" i="10"/>
  <c r="J370" i="10"/>
  <c r="F370" i="10"/>
  <c r="J369" i="10"/>
  <c r="L369" i="10" s="1"/>
  <c r="F369" i="10"/>
  <c r="J368" i="10"/>
  <c r="F368" i="10"/>
  <c r="J367" i="10"/>
  <c r="L367" i="10" s="1"/>
  <c r="F367" i="10"/>
  <c r="L366" i="10"/>
  <c r="L364" i="10"/>
  <c r="J363" i="10"/>
  <c r="J362" i="10"/>
  <c r="J361" i="10"/>
  <c r="J360" i="10"/>
  <c r="J359" i="10"/>
  <c r="F359" i="10"/>
  <c r="J358" i="10"/>
  <c r="F357" i="10"/>
  <c r="J357" i="10" s="1"/>
  <c r="F356" i="10"/>
  <c r="J356" i="10" s="1"/>
  <c r="F355" i="10"/>
  <c r="J355" i="10" s="1"/>
  <c r="J354" i="10"/>
  <c r="J353" i="10"/>
  <c r="F352" i="10"/>
  <c r="F351" i="10"/>
  <c r="F350" i="10"/>
  <c r="F349" i="10"/>
  <c r="F348" i="10"/>
  <c r="F347" i="10"/>
  <c r="F346" i="10"/>
  <c r="F345" i="10"/>
  <c r="F344" i="10"/>
  <c r="L343" i="10"/>
  <c r="L341" i="10"/>
  <c r="J340" i="10"/>
  <c r="L340" i="10" s="1"/>
  <c r="F339" i="10"/>
  <c r="F338" i="10"/>
  <c r="F337" i="10"/>
  <c r="J336" i="10"/>
  <c r="J335" i="10"/>
  <c r="J334" i="10"/>
  <c r="J333" i="10"/>
  <c r="F333" i="10"/>
  <c r="J332" i="10"/>
  <c r="F332" i="10"/>
  <c r="J331" i="10"/>
  <c r="F331" i="10"/>
  <c r="J330" i="10"/>
  <c r="F330" i="10"/>
  <c r="J329" i="10"/>
  <c r="F329" i="10"/>
  <c r="J328" i="10"/>
  <c r="F328" i="10"/>
  <c r="L327" i="10"/>
  <c r="J326" i="10"/>
  <c r="L326" i="10" s="1"/>
  <c r="J324" i="10"/>
  <c r="F324" i="10"/>
  <c r="J323" i="10"/>
  <c r="F323" i="10"/>
  <c r="J322" i="10"/>
  <c r="F322" i="10"/>
  <c r="J321" i="10"/>
  <c r="F321" i="10"/>
  <c r="J320" i="10"/>
  <c r="F320" i="10"/>
  <c r="J319" i="10"/>
  <c r="F319" i="10"/>
  <c r="J318" i="10"/>
  <c r="F318" i="10"/>
  <c r="J317" i="10"/>
  <c r="F317" i="10"/>
  <c r="J316" i="10"/>
  <c r="F316" i="10"/>
  <c r="J315" i="10"/>
  <c r="F315" i="10"/>
  <c r="J314" i="10"/>
  <c r="F314" i="10"/>
  <c r="J313" i="10"/>
  <c r="F312" i="10"/>
  <c r="J311" i="10"/>
  <c r="L311" i="10" s="1"/>
  <c r="J310" i="10"/>
  <c r="F310" i="10"/>
  <c r="L309" i="10"/>
  <c r="J307" i="10"/>
  <c r="F307" i="10"/>
  <c r="J306" i="10"/>
  <c r="F306" i="10"/>
  <c r="J305" i="10"/>
  <c r="L305" i="10" s="1"/>
  <c r="J304" i="10"/>
  <c r="L304" i="10" s="1"/>
  <c r="J303" i="10"/>
  <c r="F303" i="10"/>
  <c r="J302" i="10"/>
  <c r="F302" i="10"/>
  <c r="J301" i="10"/>
  <c r="F301" i="10"/>
  <c r="J300" i="10"/>
  <c r="F300" i="10"/>
  <c r="J299" i="10"/>
  <c r="F299" i="10"/>
  <c r="J298" i="10"/>
  <c r="F298" i="10"/>
  <c r="L297" i="10"/>
  <c r="G295" i="10"/>
  <c r="F295" i="10"/>
  <c r="J295" i="10" s="1"/>
  <c r="J294" i="10"/>
  <c r="L294" i="10" s="1"/>
  <c r="J293" i="10"/>
  <c r="L293" i="10" s="1"/>
  <c r="F292" i="10"/>
  <c r="J291" i="10"/>
  <c r="J290" i="10"/>
  <c r="F290" i="10"/>
  <c r="J289" i="10"/>
  <c r="F289" i="10"/>
  <c r="J288" i="10"/>
  <c r="F288" i="10"/>
  <c r="J287" i="10"/>
  <c r="F287" i="10"/>
  <c r="J286" i="10"/>
  <c r="F286" i="10"/>
  <c r="J285" i="10"/>
  <c r="F285" i="10"/>
  <c r="J284" i="10"/>
  <c r="F284" i="10"/>
  <c r="J283" i="10"/>
  <c r="F283" i="10"/>
  <c r="J282" i="10"/>
  <c r="F282" i="10"/>
  <c r="J281" i="10"/>
  <c r="F281" i="10"/>
  <c r="L280" i="10"/>
  <c r="J278" i="10"/>
  <c r="F277" i="10"/>
  <c r="F276" i="10"/>
  <c r="F275" i="10"/>
  <c r="L274" i="10"/>
  <c r="F272" i="10"/>
  <c r="J271" i="10"/>
  <c r="J270" i="10"/>
  <c r="J269" i="10"/>
  <c r="J268" i="10"/>
  <c r="J267" i="10"/>
  <c r="J266" i="10"/>
  <c r="F266" i="10"/>
  <c r="J265" i="10"/>
  <c r="F265" i="10"/>
  <c r="J264" i="10"/>
  <c r="F264" i="10"/>
  <c r="J263" i="10"/>
  <c r="F263" i="10"/>
  <c r="J262" i="10"/>
  <c r="F262" i="10"/>
  <c r="J261" i="10"/>
  <c r="F261" i="10"/>
  <c r="J260" i="10"/>
  <c r="F260" i="10"/>
  <c r="J259" i="10"/>
  <c r="F259" i="10"/>
  <c r="L258" i="10"/>
  <c r="J256" i="10"/>
  <c r="J255" i="10"/>
  <c r="J254" i="10"/>
  <c r="F254" i="10"/>
  <c r="J253" i="10"/>
  <c r="F253" i="10"/>
  <c r="J252" i="10"/>
  <c r="F252" i="10"/>
  <c r="J251" i="10"/>
  <c r="F251" i="10"/>
  <c r="J250" i="10"/>
  <c r="F250" i="10"/>
  <c r="L249" i="10"/>
  <c r="J247" i="10"/>
  <c r="J246" i="10"/>
  <c r="J245" i="10"/>
  <c r="F245" i="10"/>
  <c r="J244" i="10"/>
  <c r="J243" i="10"/>
  <c r="J242" i="10"/>
  <c r="F242" i="10"/>
  <c r="J241" i="10"/>
  <c r="F241" i="10"/>
  <c r="J240" i="10"/>
  <c r="F240" i="10"/>
  <c r="J239" i="10"/>
  <c r="F239" i="10"/>
  <c r="J238" i="10"/>
  <c r="F238" i="10"/>
  <c r="J237" i="10"/>
  <c r="F237" i="10"/>
  <c r="J236" i="10"/>
  <c r="F236" i="10"/>
  <c r="J235" i="10"/>
  <c r="F235" i="10"/>
  <c r="J234" i="10"/>
  <c r="F234" i="10"/>
  <c r="L233" i="10"/>
  <c r="J231" i="10"/>
  <c r="F231" i="10"/>
  <c r="J230" i="10"/>
  <c r="F230" i="10"/>
  <c r="J229" i="10"/>
  <c r="J228" i="10"/>
  <c r="J227" i="10"/>
  <c r="J226" i="10"/>
  <c r="J225" i="10"/>
  <c r="J224" i="10"/>
  <c r="J223" i="10"/>
  <c r="F223" i="10"/>
  <c r="J222" i="10"/>
  <c r="F222" i="10"/>
  <c r="J221" i="10"/>
  <c r="F221" i="10"/>
  <c r="J220" i="10"/>
  <c r="F220" i="10"/>
  <c r="J219" i="10"/>
  <c r="F219" i="10"/>
  <c r="J218" i="10"/>
  <c r="F218" i="10"/>
  <c r="J217" i="10"/>
  <c r="F217" i="10"/>
  <c r="J216" i="10"/>
  <c r="F216" i="10"/>
  <c r="J215" i="10"/>
  <c r="F215" i="10"/>
  <c r="J214" i="10"/>
  <c r="F214" i="10"/>
  <c r="J213" i="10"/>
  <c r="F213" i="10"/>
  <c r="L212" i="10"/>
  <c r="J210" i="10"/>
  <c r="J209" i="10"/>
  <c r="J208" i="10"/>
  <c r="F207" i="10"/>
  <c r="F206" i="10"/>
  <c r="F205" i="10"/>
  <c r="F204" i="10"/>
  <c r="F203" i="10"/>
  <c r="G202" i="10"/>
  <c r="F202" i="10"/>
  <c r="J202" i="10" s="1"/>
  <c r="L201" i="10"/>
  <c r="J199" i="10"/>
  <c r="F199" i="10"/>
  <c r="J198" i="10"/>
  <c r="F198" i="10"/>
  <c r="J197" i="10"/>
  <c r="F197" i="10"/>
  <c r="J196" i="10"/>
  <c r="L196" i="10" s="1"/>
  <c r="J195" i="10"/>
  <c r="L195" i="10" s="1"/>
  <c r="J194" i="10"/>
  <c r="L194" i="10" s="1"/>
  <c r="J193" i="10"/>
  <c r="L193" i="10" s="1"/>
  <c r="J192" i="10"/>
  <c r="F192" i="10"/>
  <c r="J191" i="10"/>
  <c r="F191" i="10"/>
  <c r="J190" i="10"/>
  <c r="F190" i="10"/>
  <c r="L189" i="10"/>
  <c r="F189" i="10"/>
  <c r="J187" i="10"/>
  <c r="L187" i="10" s="1"/>
  <c r="J186" i="10"/>
  <c r="L186" i="10" s="1"/>
  <c r="J185" i="10"/>
  <c r="L185" i="10" s="1"/>
  <c r="J184" i="10"/>
  <c r="L184" i="10" s="1"/>
  <c r="J183" i="10"/>
  <c r="L183" i="10" s="1"/>
  <c r="J182" i="10"/>
  <c r="F182" i="10"/>
  <c r="J181" i="10"/>
  <c r="F181" i="10"/>
  <c r="J180" i="10"/>
  <c r="F180" i="10"/>
  <c r="J179" i="10"/>
  <c r="F179" i="10"/>
  <c r="J178" i="10"/>
  <c r="F178" i="10"/>
  <c r="J177" i="10"/>
  <c r="F177" i="10"/>
  <c r="J176" i="10"/>
  <c r="F176" i="10"/>
  <c r="J175" i="10"/>
  <c r="F175" i="10"/>
  <c r="J174" i="10"/>
  <c r="F174" i="10"/>
  <c r="J173" i="10"/>
  <c r="F173" i="10"/>
  <c r="J172" i="10"/>
  <c r="F172" i="10"/>
  <c r="J171" i="10"/>
  <c r="F171" i="10"/>
  <c r="J170" i="10"/>
  <c r="F170" i="10"/>
  <c r="L169" i="10"/>
  <c r="J167" i="10"/>
  <c r="L167" i="10" s="1"/>
  <c r="J166" i="10"/>
  <c r="L166" i="10" s="1"/>
  <c r="J165" i="10"/>
  <c r="F165" i="10"/>
  <c r="J164" i="10"/>
  <c r="F164" i="10"/>
  <c r="J163" i="10"/>
  <c r="F163" i="10"/>
  <c r="J162" i="10"/>
  <c r="F162" i="10"/>
  <c r="J161" i="10"/>
  <c r="L161" i="10" s="1"/>
  <c r="J160" i="10"/>
  <c r="L160" i="10" s="1"/>
  <c r="J159" i="10"/>
  <c r="F159" i="10"/>
  <c r="J158" i="10"/>
  <c r="F158" i="10"/>
  <c r="J157" i="10"/>
  <c r="F157" i="10"/>
  <c r="J156" i="10"/>
  <c r="F156" i="10"/>
  <c r="L155" i="10"/>
  <c r="J154" i="10"/>
  <c r="J152" i="10"/>
  <c r="J151" i="10"/>
  <c r="J150" i="10"/>
  <c r="J149" i="10"/>
  <c r="F148" i="10"/>
  <c r="F147" i="10"/>
  <c r="F146" i="10"/>
  <c r="F145" i="10"/>
  <c r="J144" i="10"/>
  <c r="F144" i="10"/>
  <c r="J143" i="10"/>
  <c r="F143" i="10"/>
  <c r="J142" i="10"/>
  <c r="F142" i="10"/>
  <c r="J141" i="10"/>
  <c r="F141" i="10"/>
  <c r="J140" i="10"/>
  <c r="F140" i="10"/>
  <c r="J139" i="10"/>
  <c r="F139" i="10"/>
  <c r="J138" i="10"/>
  <c r="F138" i="10"/>
  <c r="J137" i="10"/>
  <c r="F137" i="10"/>
  <c r="J136" i="10"/>
  <c r="F136" i="10"/>
  <c r="J135" i="10"/>
  <c r="F135" i="10"/>
  <c r="L134" i="10"/>
  <c r="J133" i="10"/>
  <c r="L133" i="10" s="1"/>
  <c r="J131" i="10"/>
  <c r="J130" i="10"/>
  <c r="J129" i="10"/>
  <c r="J128" i="10"/>
  <c r="F127" i="10"/>
  <c r="F126" i="10"/>
  <c r="F125" i="10"/>
  <c r="F124" i="10"/>
  <c r="F123" i="10"/>
  <c r="F122" i="10"/>
  <c r="F121" i="10"/>
  <c r="F120" i="10"/>
  <c r="F119" i="10"/>
  <c r="F118" i="10"/>
  <c r="F117" i="10"/>
  <c r="F116" i="10"/>
  <c r="F115" i="10"/>
  <c r="F114" i="10"/>
  <c r="F113" i="10"/>
  <c r="F112" i="10"/>
  <c r="L111" i="10"/>
  <c r="L110" i="10"/>
  <c r="J109" i="10"/>
  <c r="J107" i="10"/>
  <c r="L107" i="10" s="1"/>
  <c r="J106" i="10"/>
  <c r="L106" i="10" s="1"/>
  <c r="J105" i="10"/>
  <c r="L105" i="10" s="1"/>
  <c r="J104" i="10"/>
  <c r="L104" i="10" s="1"/>
  <c r="J103" i="10"/>
  <c r="F103" i="10"/>
  <c r="J102" i="10"/>
  <c r="F102" i="10"/>
  <c r="J101" i="10"/>
  <c r="F101" i="10"/>
  <c r="J100" i="10"/>
  <c r="F100" i="10"/>
  <c r="J99" i="10"/>
  <c r="F99" i="10"/>
  <c r="J98" i="10"/>
  <c r="F98" i="10"/>
  <c r="J97" i="10"/>
  <c r="F97" i="10"/>
  <c r="J96" i="10"/>
  <c r="F96" i="10"/>
  <c r="J95" i="10"/>
  <c r="F95" i="10"/>
  <c r="J94" i="10"/>
  <c r="F94" i="10"/>
  <c r="J93" i="10"/>
  <c r="F93" i="10"/>
  <c r="J92" i="10"/>
  <c r="F92" i="10"/>
  <c r="L91" i="10"/>
  <c r="J90" i="10"/>
  <c r="J88" i="10"/>
  <c r="F88" i="10"/>
  <c r="J87" i="10"/>
  <c r="J86" i="10"/>
  <c r="F85" i="10"/>
  <c r="J84" i="10"/>
  <c r="F84" i="10"/>
  <c r="F83" i="10"/>
  <c r="J83" i="10" s="1"/>
  <c r="J82" i="10"/>
  <c r="F82" i="10"/>
  <c r="F81" i="10"/>
  <c r="J80" i="10"/>
  <c r="F80" i="10"/>
  <c r="F79" i="10"/>
  <c r="J79" i="10" s="1"/>
  <c r="J78" i="10"/>
  <c r="L78" i="10" s="1"/>
  <c r="F78" i="10"/>
  <c r="F77" i="10"/>
  <c r="J76" i="10"/>
  <c r="L76" i="10" s="1"/>
  <c r="J75" i="10"/>
  <c r="L75" i="10" s="1"/>
  <c r="J74" i="10"/>
  <c r="L74" i="10" s="1"/>
  <c r="J73" i="10"/>
  <c r="L73" i="10" s="1"/>
  <c r="J72" i="10"/>
  <c r="L72" i="10" s="1"/>
  <c r="J71" i="10"/>
  <c r="L71" i="10" s="1"/>
  <c r="J70" i="10"/>
  <c r="F70" i="10"/>
  <c r="J69" i="10"/>
  <c r="L69" i="10" s="1"/>
  <c r="J68" i="10"/>
  <c r="L68" i="10" s="1"/>
  <c r="J67" i="10"/>
  <c r="L67" i="10" s="1"/>
  <c r="F66" i="10"/>
  <c r="J65" i="10"/>
  <c r="L65" i="10" s="1"/>
  <c r="F65" i="10"/>
  <c r="J64" i="10"/>
  <c r="F63" i="10"/>
  <c r="J62" i="10"/>
  <c r="F62" i="10"/>
  <c r="F61" i="10"/>
  <c r="J61" i="10" s="1"/>
  <c r="J60" i="10"/>
  <c r="L60" i="10" s="1"/>
  <c r="F60" i="10"/>
  <c r="F59" i="10"/>
  <c r="J58" i="10"/>
  <c r="F58" i="10"/>
  <c r="F57" i="10"/>
  <c r="J56" i="10"/>
  <c r="L56" i="10" s="1"/>
  <c r="F56" i="10"/>
  <c r="J55" i="10"/>
  <c r="J53" i="10"/>
  <c r="L53" i="10" s="1"/>
  <c r="J52" i="10"/>
  <c r="L52" i="10" s="1"/>
  <c r="J51" i="10"/>
  <c r="L51" i="10" s="1"/>
  <c r="F50" i="10"/>
  <c r="G49" i="10"/>
  <c r="F49" i="10"/>
  <c r="J49" i="10" s="1"/>
  <c r="J48" i="10"/>
  <c r="F48" i="10"/>
  <c r="G47" i="10"/>
  <c r="F47" i="10"/>
  <c r="J47" i="10" s="1"/>
  <c r="F46" i="10"/>
  <c r="J46" i="10" s="1"/>
  <c r="F45" i="10"/>
  <c r="F44" i="10"/>
  <c r="G43" i="10"/>
  <c r="F43" i="10"/>
  <c r="J43" i="10" s="1"/>
  <c r="J42" i="10"/>
  <c r="F41" i="10"/>
  <c r="F40" i="10"/>
  <c r="F39" i="10"/>
  <c r="F38" i="10"/>
  <c r="F37" i="10"/>
  <c r="F36" i="10"/>
  <c r="J36" i="10" s="1"/>
  <c r="J35" i="10"/>
  <c r="J34" i="10"/>
  <c r="F34" i="10"/>
  <c r="J33" i="10"/>
  <c r="F33" i="10"/>
  <c r="J32" i="10"/>
  <c r="F32" i="10"/>
  <c r="J31" i="10"/>
  <c r="F31" i="10"/>
  <c r="J30" i="10"/>
  <c r="F30" i="10"/>
  <c r="J29" i="10"/>
  <c r="F28" i="10"/>
  <c r="F27" i="10"/>
  <c r="F26" i="10"/>
  <c r="F25" i="10"/>
  <c r="L24" i="10"/>
  <c r="J23" i="10"/>
  <c r="F23" i="10"/>
  <c r="J22" i="10"/>
  <c r="F22" i="10"/>
  <c r="J21" i="10"/>
  <c r="L21" i="10" s="1"/>
  <c r="J20" i="10"/>
  <c r="L20" i="10" s="1"/>
  <c r="J19" i="10"/>
  <c r="L19" i="10" s="1"/>
  <c r="F18" i="10"/>
  <c r="F17" i="10"/>
  <c r="F16" i="10"/>
  <c r="F15" i="10"/>
  <c r="F14" i="10"/>
  <c r="F13" i="10"/>
  <c r="F12" i="10"/>
  <c r="F11" i="10"/>
  <c r="J11" i="10" s="1"/>
  <c r="F10" i="10"/>
  <c r="F9" i="10"/>
  <c r="J8" i="10"/>
  <c r="L8" i="10" s="1"/>
  <c r="K7" i="10"/>
  <c r="J763" i="10" l="1"/>
  <c r="L763" i="10" s="1"/>
  <c r="L879" i="10"/>
  <c r="L881" i="10"/>
  <c r="L883" i="10"/>
  <c r="L885" i="10"/>
  <c r="L887" i="10"/>
  <c r="L1255" i="10"/>
  <c r="J1285" i="10"/>
  <c r="L1285" i="10" s="1"/>
  <c r="L1301" i="10"/>
  <c r="L1339" i="10"/>
  <c r="L1343" i="10"/>
  <c r="M1385" i="10"/>
  <c r="M1389" i="10"/>
  <c r="L84" i="10"/>
  <c r="J188" i="10"/>
  <c r="L188" i="10" s="1"/>
  <c r="J471" i="10"/>
  <c r="L471" i="10" s="1"/>
  <c r="L571" i="10"/>
  <c r="J642" i="10"/>
  <c r="J790" i="10"/>
  <c r="J847" i="10"/>
  <c r="L847" i="10" s="1"/>
  <c r="L872" i="10"/>
  <c r="L874" i="10"/>
  <c r="L961" i="10"/>
  <c r="L963" i="10"/>
  <c r="L965" i="10"/>
  <c r="J1091" i="10"/>
  <c r="M1091" i="10" s="1"/>
  <c r="J1111" i="10"/>
  <c r="L1111" i="10" s="1"/>
  <c r="L1265" i="10"/>
  <c r="L1269" i="10"/>
  <c r="L1273" i="10"/>
  <c r="L1277" i="10"/>
  <c r="J1396" i="10"/>
  <c r="M1396" i="10" s="1"/>
  <c r="L1399" i="10"/>
  <c r="L1403" i="10"/>
  <c r="L64" i="10"/>
  <c r="L80" i="10"/>
  <c r="L489" i="10"/>
  <c r="L490" i="10"/>
  <c r="L491" i="10"/>
  <c r="L492" i="10"/>
  <c r="L493" i="10"/>
  <c r="L494" i="10"/>
  <c r="L495" i="10"/>
  <c r="J579" i="10"/>
  <c r="L579" i="10" s="1"/>
  <c r="L614" i="10"/>
  <c r="L789" i="10"/>
  <c r="L790" i="10"/>
  <c r="L793" i="10"/>
  <c r="L794" i="10"/>
  <c r="L821" i="10"/>
  <c r="L822" i="10"/>
  <c r="L823" i="10"/>
  <c r="L833" i="10"/>
  <c r="L834" i="10"/>
  <c r="L835" i="10"/>
  <c r="L845" i="10"/>
  <c r="L1117" i="10"/>
  <c r="L1306" i="10"/>
  <c r="L1310" i="10"/>
  <c r="L1316" i="10"/>
  <c r="L1320" i="10"/>
  <c r="M1358" i="10"/>
  <c r="L1362" i="10"/>
  <c r="L1363" i="10"/>
  <c r="L1364" i="10"/>
  <c r="L1366" i="10"/>
  <c r="L1367" i="10"/>
  <c r="L1371" i="10"/>
  <c r="L1379" i="10"/>
  <c r="M1384" i="10"/>
  <c r="L1439" i="10"/>
  <c r="L1421" i="10"/>
  <c r="L82" i="10"/>
  <c r="L88" i="10"/>
  <c r="L680" i="10"/>
  <c r="L988" i="10"/>
  <c r="L990" i="10"/>
  <c r="L991" i="10"/>
  <c r="L992" i="10"/>
  <c r="L1094" i="10"/>
  <c r="L1095" i="10"/>
  <c r="L1096" i="10"/>
  <c r="L1097" i="10"/>
  <c r="L1098" i="10"/>
  <c r="L1099" i="10"/>
  <c r="L1100" i="10"/>
  <c r="L1280" i="10"/>
  <c r="L1282" i="10"/>
  <c r="L1284" i="10"/>
  <c r="L1288" i="10"/>
  <c r="L1290" i="10"/>
  <c r="L1292" i="10"/>
  <c r="L1294" i="10"/>
  <c r="L1296" i="10"/>
  <c r="L1308" i="10"/>
  <c r="L1318" i="10"/>
  <c r="L1322" i="10"/>
  <c r="L1346" i="10"/>
  <c r="L1417" i="10"/>
  <c r="L22" i="10"/>
  <c r="L23" i="10"/>
  <c r="L29" i="10"/>
  <c r="L35" i="10"/>
  <c r="L42" i="10"/>
  <c r="L43" i="10"/>
  <c r="L46" i="10"/>
  <c r="L49" i="10"/>
  <c r="L55" i="10"/>
  <c r="L58" i="10"/>
  <c r="L62" i="10"/>
  <c r="L70" i="10"/>
  <c r="L86" i="10"/>
  <c r="L87" i="10"/>
  <c r="J89" i="10"/>
  <c r="L89" i="10" s="1"/>
  <c r="L90" i="10"/>
  <c r="L92" i="10"/>
  <c r="L93" i="10"/>
  <c r="L94" i="10"/>
  <c r="L95" i="10"/>
  <c r="L96" i="10"/>
  <c r="L97" i="10"/>
  <c r="L98" i="10"/>
  <c r="L99" i="10"/>
  <c r="L100" i="10"/>
  <c r="L101" i="10"/>
  <c r="L102" i="10"/>
  <c r="L103" i="10"/>
  <c r="L109" i="10"/>
  <c r="L128" i="10"/>
  <c r="L129" i="10"/>
  <c r="L130" i="10"/>
  <c r="L131" i="10"/>
  <c r="L149" i="10"/>
  <c r="L150" i="10"/>
  <c r="L151" i="10"/>
  <c r="L152" i="10"/>
  <c r="J153" i="10"/>
  <c r="L153" i="10" s="1"/>
  <c r="L154" i="10"/>
  <c r="L156" i="10"/>
  <c r="L157" i="10"/>
  <c r="L158" i="10"/>
  <c r="L159" i="10"/>
  <c r="L162" i="10"/>
  <c r="L163" i="10"/>
  <c r="L164" i="10"/>
  <c r="L165" i="10"/>
  <c r="L170" i="10"/>
  <c r="L171" i="10"/>
  <c r="L172" i="10"/>
  <c r="L173" i="10"/>
  <c r="L174" i="10"/>
  <c r="L175" i="10"/>
  <c r="L176" i="10"/>
  <c r="L177" i="10"/>
  <c r="L178" i="10"/>
  <c r="L179" i="10"/>
  <c r="L180" i="10"/>
  <c r="L181" i="10"/>
  <c r="L182" i="10"/>
  <c r="L190" i="10"/>
  <c r="L191" i="10"/>
  <c r="L192" i="10"/>
  <c r="L197" i="10"/>
  <c r="L198" i="10"/>
  <c r="L199" i="10"/>
  <c r="L208" i="10"/>
  <c r="L209" i="10"/>
  <c r="L210" i="10"/>
  <c r="L224" i="10"/>
  <c r="L225" i="10"/>
  <c r="L226" i="10"/>
  <c r="L227" i="10"/>
  <c r="L228" i="10"/>
  <c r="L229" i="10"/>
  <c r="L243" i="10"/>
  <c r="L244" i="10"/>
  <c r="L246" i="10"/>
  <c r="L247" i="10"/>
  <c r="L255" i="10"/>
  <c r="L256" i="10"/>
  <c r="L267" i="10"/>
  <c r="L268" i="10"/>
  <c r="L269" i="10"/>
  <c r="L270" i="10"/>
  <c r="L271" i="10"/>
  <c r="L278" i="10"/>
  <c r="L291" i="10"/>
  <c r="L298" i="10"/>
  <c r="L299" i="10"/>
  <c r="L300" i="10"/>
  <c r="L301" i="10"/>
  <c r="L302" i="10"/>
  <c r="L303" i="10"/>
  <c r="L306" i="10"/>
  <c r="L307" i="10"/>
  <c r="L310" i="10"/>
  <c r="L313" i="10"/>
  <c r="L334" i="10"/>
  <c r="L335" i="10"/>
  <c r="L336" i="10"/>
  <c r="L353" i="10"/>
  <c r="L358" i="10"/>
  <c r="L359" i="10"/>
  <c r="L361" i="10"/>
  <c r="L362" i="10"/>
  <c r="L363" i="10"/>
  <c r="L368" i="10"/>
  <c r="L370" i="10"/>
  <c r="L372" i="10"/>
  <c r="L375" i="10"/>
  <c r="L382" i="10"/>
  <c r="L384" i="10"/>
  <c r="L391" i="10"/>
  <c r="L392" i="10"/>
  <c r="L393" i="10"/>
  <c r="L408" i="10"/>
  <c r="L409" i="10"/>
  <c r="L410" i="10"/>
  <c r="L428" i="10"/>
  <c r="L430" i="10"/>
  <c r="L431" i="10"/>
  <c r="L496" i="10"/>
  <c r="L513" i="10"/>
  <c r="L523" i="10"/>
  <c r="L572" i="10"/>
  <c r="L595" i="10"/>
  <c r="L597" i="10"/>
  <c r="L599" i="10"/>
  <c r="L601" i="10"/>
  <c r="L606" i="10"/>
  <c r="L608" i="10"/>
  <c r="J616" i="10"/>
  <c r="L616" i="10" s="1"/>
  <c r="L619" i="10"/>
  <c r="L621" i="10"/>
  <c r="L623" i="10"/>
  <c r="L625" i="10"/>
  <c r="L627" i="10"/>
  <c r="L629" i="10"/>
  <c r="J631" i="10"/>
  <c r="L678" i="10"/>
  <c r="L690" i="10"/>
  <c r="L693" i="10"/>
  <c r="L694" i="10"/>
  <c r="L695" i="10"/>
  <c r="L696" i="10"/>
  <c r="L697" i="10"/>
  <c r="J698" i="10"/>
  <c r="L698" i="10" s="1"/>
  <c r="L701" i="10"/>
  <c r="L702" i="10"/>
  <c r="L703" i="10"/>
  <c r="L704" i="10"/>
  <c r="L707" i="10"/>
  <c r="L708" i="10"/>
  <c r="L709" i="10"/>
  <c r="L715" i="10"/>
  <c r="L716" i="10"/>
  <c r="L717" i="10"/>
  <c r="L720" i="10"/>
  <c r="L721" i="10"/>
  <c r="L722" i="10"/>
  <c r="L738" i="10"/>
  <c r="L739" i="10"/>
  <c r="L740" i="10"/>
  <c r="L741" i="10"/>
  <c r="L742" i="10"/>
  <c r="L743" i="10"/>
  <c r="L754" i="10"/>
  <c r="L755" i="10"/>
  <c r="L756" i="10"/>
  <c r="L772" i="10"/>
  <c r="L773" i="10"/>
  <c r="L795" i="10"/>
  <c r="L1091" i="10"/>
  <c r="M1387" i="10"/>
  <c r="L1387" i="10"/>
  <c r="M1391" i="10"/>
  <c r="L1391" i="10"/>
  <c r="M1393" i="10"/>
  <c r="J1383" i="10"/>
  <c r="M1394" i="10"/>
  <c r="L1394" i="10"/>
  <c r="M1395" i="10"/>
  <c r="L1395" i="10"/>
  <c r="L1396" i="10"/>
  <c r="M1092" i="10"/>
  <c r="L1397" i="10"/>
  <c r="L1389" i="10"/>
  <c r="L846" i="10"/>
  <c r="L871" i="10"/>
  <c r="L873" i="10"/>
  <c r="L880" i="10"/>
  <c r="L882" i="10"/>
  <c r="L884" i="10"/>
  <c r="L886" i="10"/>
  <c r="L888" i="10"/>
  <c r="J905" i="10"/>
  <c r="L905" i="10" s="1"/>
  <c r="L962" i="10"/>
  <c r="L964" i="10"/>
  <c r="J966" i="10"/>
  <c r="L966" i="10" s="1"/>
  <c r="L987" i="10"/>
  <c r="L993" i="10"/>
  <c r="L1014" i="10"/>
  <c r="L1015" i="10"/>
  <c r="L1017" i="10"/>
  <c r="L1021" i="10"/>
  <c r="L1022" i="10"/>
  <c r="L1023" i="10"/>
  <c r="L1024" i="10"/>
  <c r="L1025" i="10"/>
  <c r="L1073" i="10"/>
  <c r="M1107" i="10"/>
  <c r="L1107" i="10"/>
  <c r="M1108" i="10"/>
  <c r="L1108" i="10"/>
  <c r="M1109" i="10"/>
  <c r="L1109" i="10"/>
  <c r="M1110" i="10"/>
  <c r="L1110" i="10"/>
  <c r="M1229" i="10"/>
  <c r="L1229" i="10"/>
  <c r="L1238" i="10"/>
  <c r="L1286" i="10"/>
  <c r="M1378" i="10"/>
  <c r="L1378" i="10"/>
  <c r="M1380" i="10"/>
  <c r="L1380" i="10"/>
  <c r="M1418" i="10"/>
  <c r="L1418" i="10"/>
  <c r="M1438" i="10"/>
  <c r="L1438" i="10"/>
  <c r="L1437" i="10"/>
  <c r="L1419" i="10"/>
  <c r="L1375" i="10"/>
  <c r="L1101" i="10"/>
  <c r="L1102" i="10"/>
  <c r="L1103" i="10"/>
  <c r="L1104" i="10"/>
  <c r="L1105" i="10"/>
  <c r="L1106" i="10"/>
  <c r="L1119" i="10"/>
  <c r="L1123" i="10"/>
  <c r="L1127" i="10"/>
  <c r="L1138" i="10"/>
  <c r="L1144" i="10"/>
  <c r="L1151" i="10"/>
  <c r="L1153" i="10"/>
  <c r="L1154" i="10"/>
  <c r="L1158" i="10"/>
  <c r="L1162" i="10"/>
  <c r="L1166" i="10"/>
  <c r="L1170" i="10"/>
  <c r="L1174" i="10"/>
  <c r="L1178" i="10"/>
  <c r="L1182" i="10"/>
  <c r="L1189" i="10"/>
  <c r="L1193" i="10"/>
  <c r="L1195" i="10"/>
  <c r="L1196" i="10"/>
  <c r="L1199" i="10"/>
  <c r="L1202" i="10"/>
  <c r="L1206" i="10"/>
  <c r="L1210" i="10"/>
  <c r="L1218" i="10"/>
  <c r="M1235" i="10"/>
  <c r="L1235" i="10"/>
  <c r="M1236" i="10"/>
  <c r="L1236" i="10"/>
  <c r="L1242" i="10"/>
  <c r="L1246" i="10"/>
  <c r="L1258" i="10"/>
  <c r="J1298" i="10"/>
  <c r="L1298" i="10" s="1"/>
  <c r="J1344" i="10"/>
  <c r="L1344" i="10" s="1"/>
  <c r="M1368" i="10"/>
  <c r="M1371" i="10"/>
  <c r="M1372" i="10"/>
  <c r="M1373" i="10"/>
  <c r="M1377" i="10"/>
  <c r="M1379" i="10"/>
  <c r="M1381" i="10"/>
  <c r="M1386" i="10"/>
  <c r="M1388" i="10"/>
  <c r="M1390" i="10"/>
  <c r="M1392" i="10"/>
  <c r="M1398" i="10"/>
  <c r="M1399" i="10"/>
  <c r="M1400" i="10"/>
  <c r="M1401" i="10"/>
  <c r="M1402" i="10"/>
  <c r="M1403" i="10"/>
  <c r="M1404" i="10"/>
  <c r="J1313" i="10"/>
  <c r="L1313" i="10" s="1"/>
  <c r="L1404" i="10"/>
  <c r="L1402" i="10"/>
  <c r="L1400" i="10"/>
  <c r="L1398" i="10"/>
  <c r="L1392" i="10"/>
  <c r="L1390" i="10"/>
  <c r="L1388" i="10"/>
  <c r="L1386" i="10"/>
  <c r="L1372" i="10"/>
  <c r="L1368" i="10"/>
  <c r="M1406" i="10"/>
  <c r="M1094" i="10"/>
  <c r="M1095" i="10"/>
  <c r="M1096" i="10"/>
  <c r="M1097" i="10"/>
  <c r="M1098" i="10"/>
  <c r="M1099" i="10"/>
  <c r="M1100" i="10"/>
  <c r="M1101" i="10"/>
  <c r="M1102" i="10"/>
  <c r="M1103" i="10"/>
  <c r="M1104" i="10"/>
  <c r="M1105" i="10"/>
  <c r="M1106" i="10"/>
  <c r="J1116" i="10"/>
  <c r="J1118" i="10"/>
  <c r="L1118" i="10" s="1"/>
  <c r="J1120" i="10"/>
  <c r="L1120" i="10" s="1"/>
  <c r="J1122" i="10"/>
  <c r="L1122" i="10" s="1"/>
  <c r="J1124" i="10"/>
  <c r="L1124" i="10" s="1"/>
  <c r="J1126" i="10"/>
  <c r="L1126" i="10" s="1"/>
  <c r="J1135" i="10"/>
  <c r="L1135" i="10" s="1"/>
  <c r="J1139" i="10"/>
  <c r="L1139" i="10" s="1"/>
  <c r="J1141" i="10"/>
  <c r="L1141" i="10" s="1"/>
  <c r="J1143" i="10"/>
  <c r="L1143" i="10" s="1"/>
  <c r="J1145" i="10"/>
  <c r="L1145" i="10" s="1"/>
  <c r="J1150" i="10"/>
  <c r="L1150" i="10" s="1"/>
  <c r="J1152" i="10"/>
  <c r="L1152" i="10" s="1"/>
  <c r="J1157" i="10"/>
  <c r="L1157" i="10" s="1"/>
  <c r="J1159" i="10"/>
  <c r="L1159" i="10" s="1"/>
  <c r="J1161" i="10"/>
  <c r="L1161" i="10" s="1"/>
  <c r="J1163" i="10"/>
  <c r="L1163" i="10" s="1"/>
  <c r="J1165" i="10"/>
  <c r="L1165" i="10" s="1"/>
  <c r="J1171" i="10"/>
  <c r="L1171" i="10" s="1"/>
  <c r="J1173" i="10"/>
  <c r="L1173" i="10" s="1"/>
  <c r="J1175" i="10"/>
  <c r="L1175" i="10" s="1"/>
  <c r="J1177" i="10"/>
  <c r="L1177" i="10" s="1"/>
  <c r="J1179" i="10"/>
  <c r="L1179" i="10" s="1"/>
  <c r="J1181" i="10"/>
  <c r="L1181" i="10" s="1"/>
  <c r="J1185" i="10"/>
  <c r="L1185" i="10" s="1"/>
  <c r="J1188" i="10"/>
  <c r="L1188" i="10" s="1"/>
  <c r="J1190" i="10"/>
  <c r="L1190" i="10" s="1"/>
  <c r="J1192" i="10"/>
  <c r="L1192" i="10" s="1"/>
  <c r="J1194" i="10"/>
  <c r="L1194" i="10" s="1"/>
  <c r="J1198" i="10"/>
  <c r="L1198" i="10" s="1"/>
  <c r="J1203" i="10"/>
  <c r="L1203" i="10" s="1"/>
  <c r="J1205" i="10"/>
  <c r="L1205" i="10" s="1"/>
  <c r="J1207" i="10"/>
  <c r="L1207" i="10" s="1"/>
  <c r="J1209" i="10"/>
  <c r="L1209" i="10" s="1"/>
  <c r="J1211" i="10"/>
  <c r="L1211" i="10" s="1"/>
  <c r="J1213" i="10"/>
  <c r="L1213" i="10" s="1"/>
  <c r="J1221" i="10"/>
  <c r="J1223" i="10"/>
  <c r="L1223" i="10" s="1"/>
  <c r="J1230" i="10"/>
  <c r="J1231" i="10"/>
  <c r="J1232" i="10"/>
  <c r="J1233" i="10"/>
  <c r="J1234" i="10"/>
  <c r="J1241" i="10"/>
  <c r="L1241" i="10" s="1"/>
  <c r="J1243" i="10"/>
  <c r="L1243" i="10" s="1"/>
  <c r="J1245" i="10"/>
  <c r="L1245" i="10" s="1"/>
  <c r="J1247" i="10"/>
  <c r="L1247" i="10" s="1"/>
  <c r="J1249" i="10"/>
  <c r="L1249" i="10" s="1"/>
  <c r="J1252" i="10"/>
  <c r="L1252" i="10" s="1"/>
  <c r="J1254" i="10"/>
  <c r="L1254" i="10" s="1"/>
  <c r="J1256" i="10"/>
  <c r="L1256" i="10" s="1"/>
  <c r="J1262" i="10"/>
  <c r="L1262" i="10" s="1"/>
  <c r="J1264" i="10"/>
  <c r="L1264" i="10" s="1"/>
  <c r="J1266" i="10"/>
  <c r="L1266" i="10" s="1"/>
  <c r="J1268" i="10"/>
  <c r="L1268" i="10" s="1"/>
  <c r="J1270" i="10"/>
  <c r="L1270" i="10" s="1"/>
  <c r="J1272" i="10"/>
  <c r="L1272" i="10" s="1"/>
  <c r="J1274" i="10"/>
  <c r="L1274" i="10" s="1"/>
  <c r="J1276" i="10"/>
  <c r="L1276" i="10" s="1"/>
  <c r="J1278" i="10"/>
  <c r="L1278" i="10" s="1"/>
  <c r="J1304" i="10"/>
  <c r="L1304" i="10" s="1"/>
  <c r="J1323" i="10"/>
  <c r="J1334" i="10"/>
  <c r="L1334" i="10" s="1"/>
  <c r="M1359" i="10"/>
  <c r="M1360" i="10"/>
  <c r="M1361" i="10"/>
  <c r="M1362" i="10"/>
  <c r="M1363" i="10"/>
  <c r="M1364" i="10"/>
  <c r="M1365" i="10"/>
  <c r="M1366" i="10"/>
  <c r="M1367" i="10"/>
  <c r="J1357" i="10"/>
  <c r="J1374" i="10"/>
  <c r="L1307" i="10"/>
  <c r="L1309" i="10"/>
  <c r="L1311" i="10"/>
  <c r="L1317" i="10"/>
  <c r="L1319" i="10"/>
  <c r="L1321" i="10"/>
  <c r="M1326" i="10"/>
  <c r="M1327" i="10"/>
  <c r="M1328" i="10"/>
  <c r="M1330" i="10"/>
  <c r="M1331" i="10"/>
  <c r="M1332" i="10"/>
  <c r="L1336" i="10"/>
  <c r="L1338" i="10"/>
  <c r="L1340" i="10"/>
  <c r="L1342" i="10"/>
  <c r="L1348" i="10"/>
  <c r="L1350" i="10"/>
  <c r="L1352" i="10"/>
  <c r="M1370" i="10"/>
  <c r="M1376" i="10"/>
  <c r="M1382" i="10"/>
  <c r="J1407" i="10"/>
  <c r="J1408" i="10"/>
  <c r="J1409" i="10"/>
  <c r="J1410" i="10"/>
  <c r="J1411" i="10"/>
  <c r="J1412" i="10"/>
  <c r="J1413" i="10"/>
  <c r="J1414" i="10"/>
  <c r="J1415" i="10"/>
  <c r="J1416" i="10"/>
  <c r="J1423" i="10"/>
  <c r="J1424" i="10"/>
  <c r="J1425" i="10"/>
  <c r="J1426" i="10"/>
  <c r="J1427" i="10"/>
  <c r="J1428" i="10"/>
  <c r="J1429" i="10"/>
  <c r="J1430" i="10"/>
  <c r="J1431" i="10"/>
  <c r="J1432" i="10"/>
  <c r="J1433" i="10"/>
  <c r="J1434" i="10"/>
  <c r="J1435" i="10"/>
  <c r="J1436" i="10"/>
  <c r="M1440" i="10"/>
  <c r="M1442" i="10"/>
  <c r="L379" i="10"/>
  <c r="L30" i="10"/>
  <c r="L31" i="10"/>
  <c r="L32" i="10"/>
  <c r="L33" i="10"/>
  <c r="L34" i="10"/>
  <c r="L48" i="10"/>
  <c r="L135" i="10"/>
  <c r="L136" i="10"/>
  <c r="L137" i="10"/>
  <c r="L138" i="10"/>
  <c r="L139" i="10"/>
  <c r="L140" i="10"/>
  <c r="L141" i="10"/>
  <c r="L142" i="10"/>
  <c r="L143" i="10"/>
  <c r="L202" i="10"/>
  <c r="L213" i="10"/>
  <c r="L214" i="10"/>
  <c r="L215" i="10"/>
  <c r="L216" i="10"/>
  <c r="L217" i="10"/>
  <c r="L218" i="10"/>
  <c r="L219" i="10"/>
  <c r="L220" i="10"/>
  <c r="L221" i="10"/>
  <c r="L222" i="10"/>
  <c r="L223" i="10"/>
  <c r="L230" i="10"/>
  <c r="L231" i="10"/>
  <c r="L234" i="10"/>
  <c r="L235" i="10"/>
  <c r="L236" i="10"/>
  <c r="L237" i="10"/>
  <c r="L238" i="10"/>
  <c r="L239" i="10"/>
  <c r="L240" i="10"/>
  <c r="L241" i="10"/>
  <c r="L242" i="10"/>
  <c r="L245" i="10"/>
  <c r="L250" i="10"/>
  <c r="L251" i="10"/>
  <c r="L252" i="10"/>
  <c r="L253" i="10"/>
  <c r="L254" i="10"/>
  <c r="L259" i="10"/>
  <c r="L260" i="10"/>
  <c r="L261" i="10"/>
  <c r="L262" i="10"/>
  <c r="L263" i="10"/>
  <c r="L264" i="10"/>
  <c r="L265" i="10"/>
  <c r="L266" i="10"/>
  <c r="L281" i="10"/>
  <c r="L282" i="10"/>
  <c r="L283" i="10"/>
  <c r="L284" i="10"/>
  <c r="L285" i="10"/>
  <c r="L286" i="10"/>
  <c r="L287" i="10"/>
  <c r="L288" i="10"/>
  <c r="L289" i="10"/>
  <c r="L290" i="10"/>
  <c r="L295" i="10"/>
  <c r="L314" i="10"/>
  <c r="L315" i="10"/>
  <c r="L316" i="10"/>
  <c r="L317" i="10"/>
  <c r="L318" i="10"/>
  <c r="L319" i="10"/>
  <c r="L320" i="10"/>
  <c r="L321" i="10"/>
  <c r="L322" i="10"/>
  <c r="L323" i="10"/>
  <c r="L324" i="10"/>
  <c r="L328" i="10"/>
  <c r="L329" i="10"/>
  <c r="L330" i="10"/>
  <c r="L331" i="10"/>
  <c r="L332" i="10"/>
  <c r="L333" i="10"/>
  <c r="L11" i="10"/>
  <c r="L36" i="10"/>
  <c r="L61" i="10"/>
  <c r="L79" i="10"/>
  <c r="L83" i="10"/>
  <c r="J9" i="10"/>
  <c r="J10" i="10"/>
  <c r="L10" i="10" s="1"/>
  <c r="J12" i="10"/>
  <c r="L12" i="10" s="1"/>
  <c r="J13" i="10"/>
  <c r="L13" i="10" s="1"/>
  <c r="J14" i="10"/>
  <c r="L14" i="10" s="1"/>
  <c r="J15" i="10"/>
  <c r="L15" i="10" s="1"/>
  <c r="J16" i="10"/>
  <c r="L16" i="10" s="1"/>
  <c r="J17" i="10"/>
  <c r="L17" i="10" s="1"/>
  <c r="J18" i="10"/>
  <c r="L18" i="10" s="1"/>
  <c r="J26" i="10"/>
  <c r="L26" i="10" s="1"/>
  <c r="J27" i="10"/>
  <c r="L27" i="10" s="1"/>
  <c r="J28" i="10"/>
  <c r="L28" i="10" s="1"/>
  <c r="J37" i="10"/>
  <c r="L37" i="10" s="1"/>
  <c r="J38" i="10"/>
  <c r="L38" i="10" s="1"/>
  <c r="J39" i="10"/>
  <c r="L39" i="10" s="1"/>
  <c r="J40" i="10"/>
  <c r="L40" i="10" s="1"/>
  <c r="J41" i="10"/>
  <c r="L41" i="10" s="1"/>
  <c r="J44" i="10"/>
  <c r="L44" i="10" s="1"/>
  <c r="J45" i="10"/>
  <c r="L45" i="10" s="1"/>
  <c r="L47" i="10"/>
  <c r="J50" i="10"/>
  <c r="L50" i="10" s="1"/>
  <c r="J57" i="10"/>
  <c r="J59" i="10"/>
  <c r="L59" i="10" s="1"/>
  <c r="J63" i="10"/>
  <c r="L63" i="10" s="1"/>
  <c r="J66" i="10"/>
  <c r="L66" i="10" s="1"/>
  <c r="J77" i="10"/>
  <c r="L77" i="10" s="1"/>
  <c r="J81" i="10"/>
  <c r="L81" i="10" s="1"/>
  <c r="J85" i="10"/>
  <c r="L85" i="10" s="1"/>
  <c r="J112" i="10"/>
  <c r="L112" i="10" s="1"/>
  <c r="J113" i="10"/>
  <c r="L113" i="10" s="1"/>
  <c r="J114" i="10"/>
  <c r="L114" i="10" s="1"/>
  <c r="J115" i="10"/>
  <c r="L115" i="10" s="1"/>
  <c r="J116" i="10"/>
  <c r="L116" i="10" s="1"/>
  <c r="J117" i="10"/>
  <c r="L117" i="10" s="1"/>
  <c r="J118" i="10"/>
  <c r="L118" i="10" s="1"/>
  <c r="J119" i="10"/>
  <c r="L119" i="10" s="1"/>
  <c r="J120" i="10"/>
  <c r="L120" i="10" s="1"/>
  <c r="J121" i="10"/>
  <c r="L121" i="10" s="1"/>
  <c r="J122" i="10"/>
  <c r="L122" i="10" s="1"/>
  <c r="J123" i="10"/>
  <c r="L123" i="10" s="1"/>
  <c r="J124" i="10"/>
  <c r="L124" i="10" s="1"/>
  <c r="J125" i="10"/>
  <c r="L125" i="10" s="1"/>
  <c r="J126" i="10"/>
  <c r="L126" i="10" s="1"/>
  <c r="J127" i="10"/>
  <c r="L127" i="10" s="1"/>
  <c r="J145" i="10"/>
  <c r="J146" i="10"/>
  <c r="L146" i="10" s="1"/>
  <c r="J147" i="10"/>
  <c r="L147" i="10" s="1"/>
  <c r="J148" i="10"/>
  <c r="L148" i="10" s="1"/>
  <c r="J168" i="10"/>
  <c r="J203" i="10"/>
  <c r="L203" i="10" s="1"/>
  <c r="J204" i="10"/>
  <c r="L204" i="10" s="1"/>
  <c r="J205" i="10"/>
  <c r="L205" i="10" s="1"/>
  <c r="J206" i="10"/>
  <c r="L206" i="10" s="1"/>
  <c r="J207" i="10"/>
  <c r="L207" i="10" s="1"/>
  <c r="J211" i="10"/>
  <c r="L211" i="10" s="1"/>
  <c r="J232" i="10"/>
  <c r="L232" i="10" s="1"/>
  <c r="J248" i="10"/>
  <c r="L248" i="10" s="1"/>
  <c r="J272" i="10"/>
  <c r="L272" i="10" s="1"/>
  <c r="J275" i="10"/>
  <c r="J276" i="10"/>
  <c r="L276" i="10" s="1"/>
  <c r="J277" i="10"/>
  <c r="L277" i="10" s="1"/>
  <c r="J292" i="10"/>
  <c r="L292" i="10" s="1"/>
  <c r="J296" i="10"/>
  <c r="L296" i="10" s="1"/>
  <c r="J312" i="10"/>
  <c r="L312" i="10" s="1"/>
  <c r="J337" i="10"/>
  <c r="L337" i="10" s="1"/>
  <c r="J338" i="10"/>
  <c r="L338" i="10" s="1"/>
  <c r="J339" i="10"/>
  <c r="L339" i="10" s="1"/>
  <c r="J344" i="10"/>
  <c r="J345" i="10"/>
  <c r="L345" i="10" s="1"/>
  <c r="J346" i="10"/>
  <c r="L346" i="10" s="1"/>
  <c r="J347" i="10"/>
  <c r="L347" i="10" s="1"/>
  <c r="J348" i="10"/>
  <c r="L348" i="10" s="1"/>
  <c r="J349" i="10"/>
  <c r="L349" i="10" s="1"/>
  <c r="J350" i="10"/>
  <c r="L350" i="10" s="1"/>
  <c r="J351" i="10"/>
  <c r="L351" i="10" s="1"/>
  <c r="J352" i="10"/>
  <c r="L352" i="10" s="1"/>
  <c r="L354" i="10"/>
  <c r="L355" i="10"/>
  <c r="L356" i="10"/>
  <c r="L357" i="10"/>
  <c r="L360" i="10"/>
  <c r="L373" i="10"/>
  <c r="L374" i="10"/>
  <c r="L376" i="10"/>
  <c r="J380" i="10"/>
  <c r="L380" i="10" s="1"/>
  <c r="L381" i="10"/>
  <c r="L385" i="10"/>
  <c r="L386" i="10"/>
  <c r="L387" i="10"/>
  <c r="L388" i="10"/>
  <c r="L389" i="10"/>
  <c r="L390" i="10"/>
  <c r="L396" i="10"/>
  <c r="J394" i="10"/>
  <c r="L394" i="10" s="1"/>
  <c r="L397" i="10"/>
  <c r="L398" i="10"/>
  <c r="L399" i="10"/>
  <c r="L400" i="10"/>
  <c r="L401" i="10"/>
  <c r="L402" i="10"/>
  <c r="L403" i="10"/>
  <c r="L404" i="10"/>
  <c r="L405" i="10"/>
  <c r="L406" i="10"/>
  <c r="L407" i="10"/>
  <c r="L413" i="10"/>
  <c r="L414" i="10"/>
  <c r="L415" i="10"/>
  <c r="L416" i="10"/>
  <c r="L417" i="10"/>
  <c r="L418" i="10"/>
  <c r="L419" i="10"/>
  <c r="L420" i="10"/>
  <c r="L421" i="10"/>
  <c r="L422" i="10"/>
  <c r="L423" i="10"/>
  <c r="L458" i="10"/>
  <c r="L459" i="10"/>
  <c r="L460" i="10"/>
  <c r="L461" i="10"/>
  <c r="L462" i="10"/>
  <c r="L463" i="10"/>
  <c r="L464" i="10"/>
  <c r="L465" i="10"/>
  <c r="L466" i="10"/>
  <c r="L467" i="10"/>
  <c r="L468" i="10"/>
  <c r="L469" i="10"/>
  <c r="L499" i="10"/>
  <c r="L500" i="10"/>
  <c r="L501" i="10"/>
  <c r="L502" i="10"/>
  <c r="L534" i="10"/>
  <c r="L551" i="10"/>
  <c r="L554" i="10"/>
  <c r="L557" i="10"/>
  <c r="L558" i="10"/>
  <c r="L559" i="10"/>
  <c r="L560" i="10"/>
  <c r="L561" i="10"/>
  <c r="L562" i="10"/>
  <c r="L563" i="10"/>
  <c r="L564" i="10"/>
  <c r="L565" i="10"/>
  <c r="L487" i="10"/>
  <c r="L488" i="10"/>
  <c r="J424" i="10"/>
  <c r="L424" i="10" s="1"/>
  <c r="J425" i="10"/>
  <c r="L425" i="10" s="1"/>
  <c r="J426" i="10"/>
  <c r="L426" i="10" s="1"/>
  <c r="J427" i="10"/>
  <c r="L427" i="10" s="1"/>
  <c r="J436" i="10"/>
  <c r="J437" i="10"/>
  <c r="L437" i="10" s="1"/>
  <c r="J438" i="10"/>
  <c r="L438" i="10" s="1"/>
  <c r="J439" i="10"/>
  <c r="L439" i="10" s="1"/>
  <c r="J440" i="10"/>
  <c r="L440" i="10" s="1"/>
  <c r="J441" i="10"/>
  <c r="L441" i="10" s="1"/>
  <c r="J442" i="10"/>
  <c r="L442" i="10" s="1"/>
  <c r="J446" i="10"/>
  <c r="J447" i="10"/>
  <c r="L447" i="10" s="1"/>
  <c r="J448" i="10"/>
  <c r="L448" i="10" s="1"/>
  <c r="J449" i="10"/>
  <c r="L449" i="10" s="1"/>
  <c r="J450" i="10"/>
  <c r="L450" i="10" s="1"/>
  <c r="J451" i="10"/>
  <c r="L451" i="10" s="1"/>
  <c r="J452" i="10"/>
  <c r="L452" i="10" s="1"/>
  <c r="J453" i="10"/>
  <c r="L453" i="10" s="1"/>
  <c r="J476" i="10"/>
  <c r="J477" i="10"/>
  <c r="L477" i="10" s="1"/>
  <c r="J478" i="10"/>
  <c r="L478" i="10" s="1"/>
  <c r="J479" i="10"/>
  <c r="L479" i="10" s="1"/>
  <c r="J480" i="10"/>
  <c r="L480" i="10" s="1"/>
  <c r="J481" i="10"/>
  <c r="L481" i="10" s="1"/>
  <c r="J482" i="10"/>
  <c r="L482" i="10" s="1"/>
  <c r="J504" i="10"/>
  <c r="J497" i="10" s="1"/>
  <c r="L497" i="10" s="1"/>
  <c r="J514" i="10"/>
  <c r="L514" i="10" s="1"/>
  <c r="J526" i="10"/>
  <c r="J527" i="10"/>
  <c r="L527" i="10" s="1"/>
  <c r="J528" i="10"/>
  <c r="L528" i="10" s="1"/>
  <c r="J529" i="10"/>
  <c r="L529" i="10" s="1"/>
  <c r="J530" i="10"/>
  <c r="L530" i="10" s="1"/>
  <c r="J531" i="10"/>
  <c r="L531" i="10" s="1"/>
  <c r="J532" i="10"/>
  <c r="L532" i="10" s="1"/>
  <c r="J538" i="10"/>
  <c r="J539" i="10"/>
  <c r="L539" i="10" s="1"/>
  <c r="J540" i="10"/>
  <c r="L540" i="10" s="1"/>
  <c r="J541" i="10"/>
  <c r="L541" i="10" s="1"/>
  <c r="J542" i="10"/>
  <c r="L542" i="10" s="1"/>
  <c r="J543" i="10"/>
  <c r="L543" i="10" s="1"/>
  <c r="J544" i="10"/>
  <c r="L544" i="10" s="1"/>
  <c r="J545" i="10"/>
  <c r="L545" i="10" s="1"/>
  <c r="J555" i="10"/>
  <c r="L555" i="10" s="1"/>
  <c r="L566" i="10"/>
  <c r="L567" i="10"/>
  <c r="L569" i="10"/>
  <c r="L575" i="10"/>
  <c r="L602" i="10"/>
  <c r="L603" i="10"/>
  <c r="L605" i="10"/>
  <c r="L607" i="10"/>
  <c r="L611" i="10"/>
  <c r="L630" i="10"/>
  <c r="J657" i="10"/>
  <c r="L669" i="10"/>
  <c r="L671" i="10"/>
  <c r="L673" i="10"/>
  <c r="L682" i="10"/>
  <c r="L683" i="10"/>
  <c r="L684" i="10"/>
  <c r="L685" i="10"/>
  <c r="L686" i="10"/>
  <c r="L687" i="10"/>
  <c r="L688" i="10"/>
  <c r="L689" i="10"/>
  <c r="J724" i="10"/>
  <c r="L724" i="10" s="1"/>
  <c r="J744" i="10"/>
  <c r="L744" i="10" s="1"/>
  <c r="J796" i="10"/>
  <c r="L796" i="10" s="1"/>
  <c r="L803" i="10"/>
  <c r="L804" i="10"/>
  <c r="L805" i="10"/>
  <c r="L806" i="10"/>
  <c r="L807" i="10"/>
  <c r="L808" i="10"/>
  <c r="L809" i="10"/>
  <c r="L810" i="10"/>
  <c r="L811" i="10"/>
  <c r="L812" i="10"/>
  <c r="J813" i="10"/>
  <c r="L813" i="10" s="1"/>
  <c r="L825" i="10"/>
  <c r="L826" i="10"/>
  <c r="L827" i="10"/>
  <c r="L828" i="10"/>
  <c r="L829" i="10"/>
  <c r="L830" i="10"/>
  <c r="L831" i="10"/>
  <c r="L832" i="10"/>
  <c r="L842" i="10"/>
  <c r="L843" i="10"/>
  <c r="L844" i="10"/>
  <c r="L850" i="10"/>
  <c r="L578" i="10"/>
  <c r="L580" i="10"/>
  <c r="J592" i="10"/>
  <c r="L592" i="10" s="1"/>
  <c r="J609" i="10"/>
  <c r="L609" i="10" s="1"/>
  <c r="L612" i="10"/>
  <c r="L613" i="10"/>
  <c r="L670" i="10"/>
  <c r="L672" i="10"/>
  <c r="L674" i="10"/>
  <c r="J675" i="10"/>
  <c r="L710" i="10"/>
  <c r="L711" i="10"/>
  <c r="L712" i="10"/>
  <c r="L713" i="10"/>
  <c r="L714" i="10"/>
  <c r="L760" i="10"/>
  <c r="L761" i="10"/>
  <c r="J836" i="10"/>
  <c r="L836" i="10" s="1"/>
  <c r="L676" i="10"/>
  <c r="L677" i="10"/>
  <c r="L692" i="10"/>
  <c r="L700" i="10"/>
  <c r="L706" i="10"/>
  <c r="L718" i="10"/>
  <c r="L719" i="10"/>
  <c r="L726" i="10"/>
  <c r="L727" i="10"/>
  <c r="L728" i="10"/>
  <c r="L729" i="10"/>
  <c r="L730" i="10"/>
  <c r="L731" i="10"/>
  <c r="L732" i="10"/>
  <c r="L735" i="10"/>
  <c r="L736" i="10"/>
  <c r="L737" i="10"/>
  <c r="L746" i="10"/>
  <c r="L747" i="10"/>
  <c r="L748" i="10"/>
  <c r="L749" i="10"/>
  <c r="L750" i="10"/>
  <c r="L751" i="10"/>
  <c r="L752" i="10"/>
  <c r="L753" i="10"/>
  <c r="L759" i="10"/>
  <c r="L765" i="10"/>
  <c r="L777" i="10"/>
  <c r="L784" i="10"/>
  <c r="L792" i="10"/>
  <c r="L798" i="10"/>
  <c r="L799" i="10"/>
  <c r="L800" i="10"/>
  <c r="L801" i="10"/>
  <c r="L815" i="10"/>
  <c r="L817" i="10"/>
  <c r="L818" i="10"/>
  <c r="L819" i="10"/>
  <c r="L820" i="10"/>
  <c r="L838" i="10"/>
  <c r="L839" i="10"/>
  <c r="L840" i="10"/>
  <c r="L849" i="10"/>
  <c r="L851" i="10"/>
  <c r="L899" i="10"/>
  <c r="J897" i="10"/>
  <c r="L897" i="10" s="1"/>
  <c r="J949" i="10"/>
  <c r="L949" i="10" s="1"/>
  <c r="L852" i="10"/>
  <c r="L853" i="10"/>
  <c r="L854" i="10"/>
  <c r="L855" i="10"/>
  <c r="L858" i="10"/>
  <c r="L859" i="10"/>
  <c r="L860" i="10"/>
  <c r="L861" i="10"/>
  <c r="L862" i="10"/>
  <c r="L863" i="10"/>
  <c r="L865" i="10"/>
  <c r="J866" i="10"/>
  <c r="L866" i="10" s="1"/>
  <c r="L868" i="10"/>
  <c r="L869" i="10"/>
  <c r="L875" i="10"/>
  <c r="J877" i="10"/>
  <c r="L877" i="10" s="1"/>
  <c r="L890" i="10"/>
  <c r="L891" i="10"/>
  <c r="L892" i="10"/>
  <c r="L893" i="10"/>
  <c r="L895" i="10"/>
  <c r="L908" i="10"/>
  <c r="L909" i="10"/>
  <c r="L910" i="10"/>
  <c r="L911" i="10"/>
  <c r="L912" i="10"/>
  <c r="J915" i="10"/>
  <c r="L915" i="10" s="1"/>
  <c r="L918" i="10"/>
  <c r="L919" i="10"/>
  <c r="L920" i="10"/>
  <c r="L921" i="10"/>
  <c r="L922" i="10"/>
  <c r="L923" i="10"/>
  <c r="L932" i="10"/>
  <c r="J938" i="10"/>
  <c r="L938" i="10" s="1"/>
  <c r="L900" i="10"/>
  <c r="L901" i="10"/>
  <c r="L902" i="10"/>
  <c r="L903" i="10"/>
  <c r="L907" i="10"/>
  <c r="L917" i="10"/>
  <c r="L925" i="10"/>
  <c r="L926" i="10"/>
  <c r="L927" i="10"/>
  <c r="L928" i="10"/>
  <c r="L937" i="10"/>
  <c r="L940" i="10"/>
  <c r="L941" i="10"/>
  <c r="L942" i="10"/>
  <c r="L943" i="10"/>
  <c r="L944" i="10"/>
  <c r="L945" i="10"/>
  <c r="L946" i="10"/>
  <c r="L951" i="10"/>
  <c r="L952" i="10"/>
  <c r="L953" i="10"/>
  <c r="L954" i="10"/>
  <c r="L955" i="10"/>
  <c r="L956" i="10"/>
  <c r="L957" i="10"/>
  <c r="L958" i="10"/>
  <c r="L967" i="10"/>
  <c r="L1020" i="10"/>
  <c r="J959" i="10"/>
  <c r="L959" i="10" s="1"/>
  <c r="L969" i="10"/>
  <c r="L970" i="10"/>
  <c r="L971" i="10"/>
  <c r="L972" i="10"/>
  <c r="L973" i="10"/>
  <c r="L974" i="10"/>
  <c r="L975" i="10"/>
  <c r="L976" i="10"/>
  <c r="L977" i="10"/>
  <c r="L978" i="10"/>
  <c r="L980" i="10"/>
  <c r="L981" i="10"/>
  <c r="L982" i="10"/>
  <c r="L983" i="10"/>
  <c r="L989" i="10"/>
  <c r="L996" i="10"/>
  <c r="L997" i="10"/>
  <c r="L998" i="10"/>
  <c r="L999" i="10"/>
  <c r="L1000" i="10"/>
  <c r="L1001" i="10"/>
  <c r="L1002" i="10"/>
  <c r="L1003" i="10"/>
  <c r="L1004" i="10"/>
  <c r="L1005" i="10"/>
  <c r="L1009" i="10"/>
  <c r="L1010" i="10"/>
  <c r="L1011" i="10"/>
  <c r="L1012" i="10"/>
  <c r="L1013" i="10"/>
  <c r="L1016" i="10"/>
  <c r="L995" i="10"/>
  <c r="L1008" i="10"/>
  <c r="L1076" i="10"/>
  <c r="J1026" i="10"/>
  <c r="L1026" i="10" s="1"/>
  <c r="L1027" i="10"/>
  <c r="L1028" i="10"/>
  <c r="L1029" i="10"/>
  <c r="L1033" i="10"/>
  <c r="L1034" i="10"/>
  <c r="L1035" i="10"/>
  <c r="L1036" i="10"/>
  <c r="L1037" i="10"/>
  <c r="L1038" i="10"/>
  <c r="L1039" i="10"/>
  <c r="L1040" i="10"/>
  <c r="J1042" i="10"/>
  <c r="L1042" i="10" s="1"/>
  <c r="J1043" i="10"/>
  <c r="L1043" i="10" s="1"/>
  <c r="J1044" i="10"/>
  <c r="L1044" i="10" s="1"/>
  <c r="J1045" i="10"/>
  <c r="L1045" i="10" s="1"/>
  <c r="J1046" i="10"/>
  <c r="L1046" i="10" s="1"/>
  <c r="J1047" i="10"/>
  <c r="L1047" i="10" s="1"/>
  <c r="J1048" i="10"/>
  <c r="L1048" i="10" s="1"/>
  <c r="J1049" i="10"/>
  <c r="L1049" i="10" s="1"/>
  <c r="J1050" i="10"/>
  <c r="L1050" i="10" s="1"/>
  <c r="J1051" i="10"/>
  <c r="L1051" i="10" s="1"/>
  <c r="J1052" i="10"/>
  <c r="L1052" i="10" s="1"/>
  <c r="J1053" i="10"/>
  <c r="L1053" i="10" s="1"/>
  <c r="J1054" i="10"/>
  <c r="L1054" i="10" s="1"/>
  <c r="J1055" i="10"/>
  <c r="L1055" i="10" s="1"/>
  <c r="J1056" i="10"/>
  <c r="L1056" i="10" s="1"/>
  <c r="J1057" i="10"/>
  <c r="L1057" i="10" s="1"/>
  <c r="J1068" i="10"/>
  <c r="L1068" i="10" s="1"/>
  <c r="J1069" i="10"/>
  <c r="L1069" i="10" s="1"/>
  <c r="J1077" i="10"/>
  <c r="L1077" i="10" s="1"/>
  <c r="J1078" i="10"/>
  <c r="L1078" i="10" s="1"/>
  <c r="J1079" i="10"/>
  <c r="L1079" i="10" s="1"/>
  <c r="J1080" i="10"/>
  <c r="L1080" i="10" s="1"/>
  <c r="J1081" i="10"/>
  <c r="L1081" i="10" s="1"/>
  <c r="J1082" i="10"/>
  <c r="L1082" i="10" s="1"/>
  <c r="J1083" i="10"/>
  <c r="L1083" i="10" s="1"/>
  <c r="J1084" i="10"/>
  <c r="L1084" i="10" s="1"/>
  <c r="J1085" i="10"/>
  <c r="L1085" i="10" s="1"/>
  <c r="J1086" i="10"/>
  <c r="L1086" i="10" s="1"/>
  <c r="K53" i="5"/>
  <c r="J53" i="5"/>
  <c r="L53" i="5" s="1"/>
  <c r="K52" i="5"/>
  <c r="J52" i="5"/>
  <c r="L52" i="5" s="1"/>
  <c r="K51" i="5"/>
  <c r="J51" i="5"/>
  <c r="L51" i="5" s="1"/>
  <c r="F50" i="5"/>
  <c r="K50" i="5" s="1"/>
  <c r="G49" i="5"/>
  <c r="K49" i="5" s="1"/>
  <c r="F49" i="5"/>
  <c r="J49" i="5" s="1"/>
  <c r="J48" i="5"/>
  <c r="L48" i="5" s="1"/>
  <c r="F48" i="5"/>
  <c r="K48" i="5" s="1"/>
  <c r="G47" i="5"/>
  <c r="F47" i="5"/>
  <c r="J47" i="5" s="1"/>
  <c r="F46" i="5"/>
  <c r="K46" i="5" s="1"/>
  <c r="F45" i="5"/>
  <c r="K45" i="5" s="1"/>
  <c r="F44" i="5"/>
  <c r="K44" i="5" s="1"/>
  <c r="G43" i="5"/>
  <c r="K43" i="5" s="1"/>
  <c r="F43" i="5"/>
  <c r="J43" i="5" s="1"/>
  <c r="L43" i="5" s="1"/>
  <c r="K42" i="5"/>
  <c r="J42" i="5"/>
  <c r="L42" i="5" s="1"/>
  <c r="F41" i="5"/>
  <c r="K41" i="5" s="1"/>
  <c r="F40" i="5"/>
  <c r="K40" i="5" s="1"/>
  <c r="F39" i="5"/>
  <c r="K39" i="5" s="1"/>
  <c r="F38" i="5"/>
  <c r="K38" i="5" s="1"/>
  <c r="F37" i="5"/>
  <c r="K37" i="5" s="1"/>
  <c r="F36" i="5"/>
  <c r="K36" i="5" s="1"/>
  <c r="K35" i="5"/>
  <c r="J35" i="5"/>
  <c r="L35" i="5" s="1"/>
  <c r="J34" i="5"/>
  <c r="F34" i="5"/>
  <c r="K34" i="5" s="1"/>
  <c r="J33" i="5"/>
  <c r="F33" i="5"/>
  <c r="K33" i="5" s="1"/>
  <c r="J32" i="5"/>
  <c r="F32" i="5"/>
  <c r="K32" i="5" s="1"/>
  <c r="J31" i="5"/>
  <c r="F31" i="5"/>
  <c r="K31" i="5" s="1"/>
  <c r="J30" i="5"/>
  <c r="F30" i="5"/>
  <c r="K30" i="5" s="1"/>
  <c r="K29" i="5"/>
  <c r="J29" i="5"/>
  <c r="L29" i="5" s="1"/>
  <c r="F28" i="5"/>
  <c r="K28" i="5" s="1"/>
  <c r="F27" i="5"/>
  <c r="K27" i="5" s="1"/>
  <c r="F26" i="5"/>
  <c r="K26" i="5" s="1"/>
  <c r="K25" i="5"/>
  <c r="L25" i="5" s="1"/>
  <c r="F25" i="5"/>
  <c r="L24" i="5"/>
  <c r="K24" i="5"/>
  <c r="J23" i="5"/>
  <c r="L23" i="5" s="1"/>
  <c r="F23" i="5"/>
  <c r="K23" i="5" s="1"/>
  <c r="J22" i="5"/>
  <c r="L22" i="5" s="1"/>
  <c r="F22" i="5"/>
  <c r="K22" i="5" s="1"/>
  <c r="K21" i="5"/>
  <c r="J21" i="5"/>
  <c r="L21" i="5" s="1"/>
  <c r="K20" i="5"/>
  <c r="J20" i="5"/>
  <c r="L20" i="5" s="1"/>
  <c r="K19" i="5"/>
  <c r="J19" i="5"/>
  <c r="L19" i="5" s="1"/>
  <c r="F18" i="5"/>
  <c r="K18" i="5" s="1"/>
  <c r="F17" i="5"/>
  <c r="K17" i="5" s="1"/>
  <c r="F16" i="5"/>
  <c r="K16" i="5" s="1"/>
  <c r="F15" i="5"/>
  <c r="K15" i="5" s="1"/>
  <c r="F14" i="5"/>
  <c r="K14" i="5" s="1"/>
  <c r="F13" i="5"/>
  <c r="K13" i="5" s="1"/>
  <c r="F12" i="5"/>
  <c r="K12" i="5" s="1"/>
  <c r="F11" i="5"/>
  <c r="K11" i="5" s="1"/>
  <c r="F10" i="5"/>
  <c r="K10" i="5" s="1"/>
  <c r="F9" i="5"/>
  <c r="K9" i="5" s="1"/>
  <c r="K8" i="5"/>
  <c r="J8" i="5"/>
  <c r="L8" i="5" s="1"/>
  <c r="K7" i="5"/>
  <c r="K167" i="5"/>
  <c r="J167" i="5"/>
  <c r="L167" i="5" s="1"/>
  <c r="K166" i="5"/>
  <c r="J166" i="5"/>
  <c r="L166" i="5" s="1"/>
  <c r="J165" i="5"/>
  <c r="L165" i="5" s="1"/>
  <c r="F165" i="5"/>
  <c r="K165" i="5" s="1"/>
  <c r="J164" i="5"/>
  <c r="L164" i="5" s="1"/>
  <c r="F164" i="5"/>
  <c r="K164" i="5" s="1"/>
  <c r="J163" i="5"/>
  <c r="L163" i="5" s="1"/>
  <c r="F163" i="5"/>
  <c r="K163" i="5" s="1"/>
  <c r="J162" i="5"/>
  <c r="L162" i="5" s="1"/>
  <c r="F162" i="5"/>
  <c r="K162" i="5" s="1"/>
  <c r="K161" i="5"/>
  <c r="J161" i="5"/>
  <c r="L161" i="5" s="1"/>
  <c r="K160" i="5"/>
  <c r="J160" i="5"/>
  <c r="L160" i="5" s="1"/>
  <c r="J159" i="5"/>
  <c r="L159" i="5" s="1"/>
  <c r="F159" i="5"/>
  <c r="K159" i="5" s="1"/>
  <c r="J158" i="5"/>
  <c r="L158" i="5" s="1"/>
  <c r="F158" i="5"/>
  <c r="K158" i="5" s="1"/>
  <c r="J157" i="5"/>
  <c r="L157" i="5" s="1"/>
  <c r="F157" i="5"/>
  <c r="K157" i="5" s="1"/>
  <c r="J156" i="5"/>
  <c r="L156" i="5" s="1"/>
  <c r="F156" i="5"/>
  <c r="K156" i="5" s="1"/>
  <c r="L155" i="5"/>
  <c r="K154" i="5"/>
  <c r="J154" i="5"/>
  <c r="L154" i="5" s="1"/>
  <c r="K153" i="5"/>
  <c r="J153" i="5"/>
  <c r="L153" i="5" s="1"/>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131" i="5"/>
  <c r="J131" i="5"/>
  <c r="L131" i="5" s="1"/>
  <c r="K130" i="5"/>
  <c r="J130" i="5"/>
  <c r="L130" i="5" s="1"/>
  <c r="K129" i="5"/>
  <c r="J129" i="5"/>
  <c r="L129" i="5" s="1"/>
  <c r="K128" i="5"/>
  <c r="J128" i="5"/>
  <c r="L128" i="5" s="1"/>
  <c r="J127" i="5"/>
  <c r="F127" i="5"/>
  <c r="K127" i="5" s="1"/>
  <c r="J126" i="5"/>
  <c r="F126" i="5"/>
  <c r="K126" i="5" s="1"/>
  <c r="J125" i="5"/>
  <c r="F125" i="5"/>
  <c r="K125" i="5" s="1"/>
  <c r="J124" i="5"/>
  <c r="F124" i="5"/>
  <c r="K124" i="5" s="1"/>
  <c r="J123" i="5"/>
  <c r="F123" i="5"/>
  <c r="K123" i="5" s="1"/>
  <c r="J122" i="5"/>
  <c r="F122" i="5"/>
  <c r="K122" i="5" s="1"/>
  <c r="J121" i="5"/>
  <c r="F121" i="5"/>
  <c r="K121" i="5" s="1"/>
  <c r="J120" i="5"/>
  <c r="F120" i="5"/>
  <c r="K120" i="5" s="1"/>
  <c r="J119" i="5"/>
  <c r="F119" i="5"/>
  <c r="K119" i="5" s="1"/>
  <c r="J118" i="5"/>
  <c r="F118" i="5"/>
  <c r="K118" i="5" s="1"/>
  <c r="J117" i="5"/>
  <c r="F117" i="5"/>
  <c r="K117" i="5" s="1"/>
  <c r="J116" i="5"/>
  <c r="F116" i="5"/>
  <c r="K116" i="5" s="1"/>
  <c r="J115" i="5"/>
  <c r="F115" i="5"/>
  <c r="K115" i="5" s="1"/>
  <c r="J114" i="5"/>
  <c r="F114" i="5"/>
  <c r="K114" i="5" s="1"/>
  <c r="J113" i="5"/>
  <c r="F113" i="5"/>
  <c r="K113" i="5" s="1"/>
  <c r="J112" i="5"/>
  <c r="F112" i="5"/>
  <c r="K112" i="5" s="1"/>
  <c r="L111" i="5"/>
  <c r="K111" i="5"/>
  <c r="L110" i="5"/>
  <c r="K109" i="5"/>
  <c r="J109" i="5"/>
  <c r="K108" i="5"/>
  <c r="J108" i="5"/>
  <c r="K107" i="5"/>
  <c r="J107" i="5"/>
  <c r="K106" i="5"/>
  <c r="J106" i="5"/>
  <c r="K105" i="5"/>
  <c r="J105" i="5"/>
  <c r="K104" i="5"/>
  <c r="J104" i="5"/>
  <c r="F103" i="5"/>
  <c r="K103" i="5" s="1"/>
  <c r="F102" i="5"/>
  <c r="K102" i="5" s="1"/>
  <c r="F101" i="5"/>
  <c r="K101" i="5" s="1"/>
  <c r="F100" i="5"/>
  <c r="K100" i="5" s="1"/>
  <c r="F99" i="5"/>
  <c r="K99" i="5" s="1"/>
  <c r="F98" i="5"/>
  <c r="K98" i="5" s="1"/>
  <c r="F97" i="5"/>
  <c r="K97" i="5" s="1"/>
  <c r="F96" i="5"/>
  <c r="K96" i="5" s="1"/>
  <c r="F95" i="5"/>
  <c r="K95" i="5" s="1"/>
  <c r="F94" i="5"/>
  <c r="K94" i="5" s="1"/>
  <c r="F93" i="5"/>
  <c r="K93" i="5" s="1"/>
  <c r="F92" i="5"/>
  <c r="K92" i="5" s="1"/>
  <c r="L91" i="5"/>
  <c r="K90" i="5"/>
  <c r="J90" i="5"/>
  <c r="F88" i="5"/>
  <c r="J88" i="5" s="1"/>
  <c r="J87" i="5"/>
  <c r="J86" i="5"/>
  <c r="F85" i="5"/>
  <c r="J85" i="5" s="1"/>
  <c r="F84" i="5"/>
  <c r="J84" i="5" s="1"/>
  <c r="F83" i="5"/>
  <c r="J83" i="5" s="1"/>
  <c r="F82" i="5"/>
  <c r="J82" i="5" s="1"/>
  <c r="F81" i="5"/>
  <c r="J81" i="5" s="1"/>
  <c r="F80" i="5"/>
  <c r="J80" i="5" s="1"/>
  <c r="F79" i="5"/>
  <c r="J79" i="5" s="1"/>
  <c r="F78" i="5"/>
  <c r="J78" i="5" s="1"/>
  <c r="F77" i="5"/>
  <c r="J77" i="5" s="1"/>
  <c r="J76" i="5"/>
  <c r="J75" i="5"/>
  <c r="J74" i="5"/>
  <c r="J73" i="5"/>
  <c r="J72" i="5"/>
  <c r="J71" i="5"/>
  <c r="F70" i="5"/>
  <c r="J70" i="5" s="1"/>
  <c r="J69" i="5"/>
  <c r="J68" i="5"/>
  <c r="J67" i="5"/>
  <c r="J66" i="5"/>
  <c r="F66" i="5"/>
  <c r="J65" i="5"/>
  <c r="F65" i="5"/>
  <c r="J64" i="5"/>
  <c r="F63" i="5"/>
  <c r="J63" i="5" s="1"/>
  <c r="F62" i="5"/>
  <c r="J62" i="5" s="1"/>
  <c r="F61" i="5"/>
  <c r="J61" i="5" s="1"/>
  <c r="F60" i="5"/>
  <c r="J60" i="5" s="1"/>
  <c r="F59" i="5"/>
  <c r="J59" i="5" s="1"/>
  <c r="F58" i="5"/>
  <c r="J58" i="5" s="1"/>
  <c r="F57" i="5"/>
  <c r="J57" i="5" s="1"/>
  <c r="F56" i="5"/>
  <c r="J56" i="5" s="1"/>
  <c r="J55" i="5"/>
  <c r="L1330" i="10" l="1"/>
  <c r="J279" i="10"/>
  <c r="L279" i="10" s="1"/>
  <c r="L1370" i="10"/>
  <c r="L1326" i="10"/>
  <c r="J54" i="10"/>
  <c r="L54" i="10" s="1"/>
  <c r="L57" i="10"/>
  <c r="M1435" i="10"/>
  <c r="L1435" i="10"/>
  <c r="M1433" i="10"/>
  <c r="L1433" i="10"/>
  <c r="M1431" i="10"/>
  <c r="L1431" i="10"/>
  <c r="M1429" i="10"/>
  <c r="L1429" i="10"/>
  <c r="M1427" i="10"/>
  <c r="L1427" i="10"/>
  <c r="M1425" i="10"/>
  <c r="L1425" i="10"/>
  <c r="M1423" i="10"/>
  <c r="L1423" i="10"/>
  <c r="M1415" i="10"/>
  <c r="L1415" i="10"/>
  <c r="M1413" i="10"/>
  <c r="L1413" i="10"/>
  <c r="M1411" i="10"/>
  <c r="L1411" i="10"/>
  <c r="M1409" i="10"/>
  <c r="L1409" i="10"/>
  <c r="M1407" i="10"/>
  <c r="L1407" i="10"/>
  <c r="M1369" i="10"/>
  <c r="L1369" i="10"/>
  <c r="M1333" i="10"/>
  <c r="L1333" i="10"/>
  <c r="M1329" i="10"/>
  <c r="L1329" i="10"/>
  <c r="M1325" i="10"/>
  <c r="L1325" i="10"/>
  <c r="M1357" i="10"/>
  <c r="L1357" i="10"/>
  <c r="M1234" i="10"/>
  <c r="L1234" i="10"/>
  <c r="M1232" i="10"/>
  <c r="L1232" i="10"/>
  <c r="M1230" i="10"/>
  <c r="L1230" i="10"/>
  <c r="J1217" i="10"/>
  <c r="L1217" i="10" s="1"/>
  <c r="L1221" i="10"/>
  <c r="L1116" i="10"/>
  <c r="J1114" i="10"/>
  <c r="L1114" i="10" s="1"/>
  <c r="K1443" i="10"/>
  <c r="L1442" i="10"/>
  <c r="L1327" i="10"/>
  <c r="M1441" i="10"/>
  <c r="L1441" i="10"/>
  <c r="M1436" i="10"/>
  <c r="L1436" i="10"/>
  <c r="M1434" i="10"/>
  <c r="L1434" i="10"/>
  <c r="M1432" i="10"/>
  <c r="L1432" i="10"/>
  <c r="M1430" i="10"/>
  <c r="L1430" i="10"/>
  <c r="M1428" i="10"/>
  <c r="L1428" i="10"/>
  <c r="M1426" i="10"/>
  <c r="L1426" i="10"/>
  <c r="M1424" i="10"/>
  <c r="L1424" i="10"/>
  <c r="M1416" i="10"/>
  <c r="L1416" i="10"/>
  <c r="M1414" i="10"/>
  <c r="L1414" i="10"/>
  <c r="M1412" i="10"/>
  <c r="L1412" i="10"/>
  <c r="M1410" i="10"/>
  <c r="L1410" i="10"/>
  <c r="M1408" i="10"/>
  <c r="L1408" i="10"/>
  <c r="M1374" i="10"/>
  <c r="L1374" i="10"/>
  <c r="M1323" i="10"/>
  <c r="L1323" i="10"/>
  <c r="M1233" i="10"/>
  <c r="L1233" i="10"/>
  <c r="M1231" i="10"/>
  <c r="L1231" i="10"/>
  <c r="L1440" i="10"/>
  <c r="J1237" i="10"/>
  <c r="L1237" i="10" s="1"/>
  <c r="M1383" i="10"/>
  <c r="L1383" i="10"/>
  <c r="L1376" i="10"/>
  <c r="L1332" i="10"/>
  <c r="L1328" i="10"/>
  <c r="L1331" i="10"/>
  <c r="J1405" i="10"/>
  <c r="J1200" i="10"/>
  <c r="L1200" i="10" s="1"/>
  <c r="J1168" i="10"/>
  <c r="L1168" i="10" s="1"/>
  <c r="J1226" i="10"/>
  <c r="J1420" i="10"/>
  <c r="J1260" i="10"/>
  <c r="L1260" i="10" s="1"/>
  <c r="J1186" i="10"/>
  <c r="L1186" i="10" s="1"/>
  <c r="J1155" i="10"/>
  <c r="L1155" i="10" s="1"/>
  <c r="J1147" i="10"/>
  <c r="L1147" i="10" s="1"/>
  <c r="J1031" i="10"/>
  <c r="L1031" i="10" s="1"/>
  <c r="J1072" i="10"/>
  <c r="L1072" i="10" s="1"/>
  <c r="J1006" i="10"/>
  <c r="L1006" i="10" s="1"/>
  <c r="J524" i="10"/>
  <c r="L524" i="10" s="1"/>
  <c r="L526" i="10"/>
  <c r="L436" i="10"/>
  <c r="J434" i="10"/>
  <c r="L434" i="10" s="1"/>
  <c r="J342" i="10"/>
  <c r="L342" i="10" s="1"/>
  <c r="L344" i="10"/>
  <c r="J325" i="10"/>
  <c r="J308" i="10"/>
  <c r="L308" i="10" s="1"/>
  <c r="J273" i="10"/>
  <c r="L273" i="10" s="1"/>
  <c r="L275" i="10"/>
  <c r="J257" i="10"/>
  <c r="L257" i="10" s="1"/>
  <c r="J108" i="10"/>
  <c r="L108" i="10" s="1"/>
  <c r="J7" i="10"/>
  <c r="L9" i="10"/>
  <c r="J200" i="10"/>
  <c r="L200" i="10" s="1"/>
  <c r="L675" i="10"/>
  <c r="J667" i="10"/>
  <c r="L667" i="10" s="1"/>
  <c r="J536" i="10"/>
  <c r="L536" i="10" s="1"/>
  <c r="L538" i="10"/>
  <c r="L476" i="10"/>
  <c r="J474" i="10"/>
  <c r="L474" i="10" s="1"/>
  <c r="L446" i="10"/>
  <c r="J444" i="10"/>
  <c r="L444" i="10" s="1"/>
  <c r="J411" i="10"/>
  <c r="L411" i="10" s="1"/>
  <c r="L168" i="10"/>
  <c r="J132" i="10"/>
  <c r="L132" i="10" s="1"/>
  <c r="L145" i="10"/>
  <c r="J365" i="10"/>
  <c r="L365" i="10" s="1"/>
  <c r="L30" i="5"/>
  <c r="L31" i="5"/>
  <c r="L32" i="5"/>
  <c r="L33" i="5"/>
  <c r="L34" i="5"/>
  <c r="L49" i="5"/>
  <c r="L90" i="5"/>
  <c r="J9" i="5"/>
  <c r="J10" i="5"/>
  <c r="L10" i="5" s="1"/>
  <c r="J11" i="5"/>
  <c r="L11" i="5" s="1"/>
  <c r="J12" i="5"/>
  <c r="L12" i="5" s="1"/>
  <c r="J13" i="5"/>
  <c r="L13" i="5" s="1"/>
  <c r="J14" i="5"/>
  <c r="L14" i="5" s="1"/>
  <c r="J15" i="5"/>
  <c r="L15" i="5" s="1"/>
  <c r="J16" i="5"/>
  <c r="L16" i="5" s="1"/>
  <c r="J17" i="5"/>
  <c r="L17" i="5" s="1"/>
  <c r="J18" i="5"/>
  <c r="L18" i="5" s="1"/>
  <c r="J26" i="5"/>
  <c r="L26" i="5" s="1"/>
  <c r="J27" i="5"/>
  <c r="L27" i="5" s="1"/>
  <c r="J28" i="5"/>
  <c r="L28" i="5" s="1"/>
  <c r="J36" i="5"/>
  <c r="L36" i="5" s="1"/>
  <c r="J37" i="5"/>
  <c r="L37" i="5" s="1"/>
  <c r="J38" i="5"/>
  <c r="L38" i="5" s="1"/>
  <c r="J39" i="5"/>
  <c r="L39" i="5" s="1"/>
  <c r="J40" i="5"/>
  <c r="L40" i="5" s="1"/>
  <c r="J41" i="5"/>
  <c r="L41" i="5" s="1"/>
  <c r="J44" i="5"/>
  <c r="L44" i="5" s="1"/>
  <c r="J45" i="5"/>
  <c r="L45" i="5" s="1"/>
  <c r="J46" i="5"/>
  <c r="L46" i="5" s="1"/>
  <c r="K47" i="5"/>
  <c r="L47" i="5" s="1"/>
  <c r="J50" i="5"/>
  <c r="L50" i="5" s="1"/>
  <c r="L104" i="5"/>
  <c r="L105" i="5"/>
  <c r="L106" i="5"/>
  <c r="L107" i="5"/>
  <c r="L108" i="5"/>
  <c r="L109" i="5"/>
  <c r="L112" i="5"/>
  <c r="L113" i="5"/>
  <c r="L114" i="5"/>
  <c r="L115" i="5"/>
  <c r="L116" i="5"/>
  <c r="L117" i="5"/>
  <c r="L118" i="5"/>
  <c r="L119" i="5"/>
  <c r="L120" i="5"/>
  <c r="L121" i="5"/>
  <c r="L122" i="5"/>
  <c r="L123" i="5"/>
  <c r="L124" i="5"/>
  <c r="L125" i="5"/>
  <c r="L126" i="5"/>
  <c r="L127" i="5"/>
  <c r="J92" i="5"/>
  <c r="J93" i="5"/>
  <c r="L93" i="5" s="1"/>
  <c r="J94" i="5"/>
  <c r="L94" i="5" s="1"/>
  <c r="J95" i="5"/>
  <c r="L95" i="5" s="1"/>
  <c r="J96" i="5"/>
  <c r="L96" i="5" s="1"/>
  <c r="J97" i="5"/>
  <c r="L97" i="5" s="1"/>
  <c r="J98" i="5"/>
  <c r="L98" i="5" s="1"/>
  <c r="J99" i="5"/>
  <c r="L99" i="5" s="1"/>
  <c r="J100" i="5"/>
  <c r="L100" i="5" s="1"/>
  <c r="J101" i="5"/>
  <c r="L101" i="5" s="1"/>
  <c r="J102" i="5"/>
  <c r="L102" i="5" s="1"/>
  <c r="J103" i="5"/>
  <c r="L103" i="5" s="1"/>
  <c r="J54" i="5"/>
  <c r="J1072" i="5"/>
  <c r="L1074" i="5"/>
  <c r="K1073" i="5"/>
  <c r="J1073" i="5"/>
  <c r="K1089" i="5"/>
  <c r="J1089" i="5"/>
  <c r="K1088" i="5"/>
  <c r="J1088" i="5"/>
  <c r="K1087" i="5"/>
  <c r="J1087" i="5"/>
  <c r="F1086" i="5"/>
  <c r="K1086" i="5" s="1"/>
  <c r="F1085" i="5"/>
  <c r="K1085" i="5" s="1"/>
  <c r="F1084" i="5"/>
  <c r="K1084" i="5" s="1"/>
  <c r="F1083" i="5"/>
  <c r="K1083" i="5" s="1"/>
  <c r="F1082" i="5"/>
  <c r="K1082" i="5" s="1"/>
  <c r="F1081" i="5"/>
  <c r="K1081" i="5" s="1"/>
  <c r="F1080" i="5"/>
  <c r="K1080" i="5" s="1"/>
  <c r="F1079" i="5"/>
  <c r="K1079" i="5" s="1"/>
  <c r="F1078" i="5"/>
  <c r="K1078" i="5" s="1"/>
  <c r="F1077" i="5"/>
  <c r="K1077" i="5" s="1"/>
  <c r="G1076" i="5"/>
  <c r="K1076" i="5" s="1"/>
  <c r="F1076" i="5"/>
  <c r="G1075" i="5"/>
  <c r="K1075" i="5" s="1"/>
  <c r="F1075" i="5"/>
  <c r="K1072" i="5"/>
  <c r="J665" i="5"/>
  <c r="J664" i="5" s="1"/>
  <c r="K664" i="5"/>
  <c r="F643" i="5"/>
  <c r="J643" i="5" s="1"/>
  <c r="J632" i="5"/>
  <c r="F663" i="5"/>
  <c r="K663" i="5" s="1"/>
  <c r="F662" i="5"/>
  <c r="J662" i="5" s="1"/>
  <c r="F661" i="5"/>
  <c r="K661" i="5" s="1"/>
  <c r="F660" i="5"/>
  <c r="J660" i="5" s="1"/>
  <c r="F659" i="5"/>
  <c r="K659" i="5" s="1"/>
  <c r="K658" i="5"/>
  <c r="K657" i="5"/>
  <c r="F656" i="5"/>
  <c r="K656" i="5" s="1"/>
  <c r="F655" i="5"/>
  <c r="J655" i="5" s="1"/>
  <c r="F654" i="5"/>
  <c r="K654" i="5" s="1"/>
  <c r="F653" i="5"/>
  <c r="J653" i="5" s="1"/>
  <c r="F652" i="5"/>
  <c r="K652" i="5" s="1"/>
  <c r="F651" i="5"/>
  <c r="J651" i="5" s="1"/>
  <c r="J650" i="5"/>
  <c r="F650" i="5"/>
  <c r="K650" i="5" s="1"/>
  <c r="F649" i="5"/>
  <c r="J649" i="5" s="1"/>
  <c r="F648" i="5"/>
  <c r="K648" i="5" s="1"/>
  <c r="F647" i="5"/>
  <c r="J647" i="5" s="1"/>
  <c r="F646" i="5"/>
  <c r="K646" i="5" s="1"/>
  <c r="F645" i="5"/>
  <c r="J645" i="5" s="1"/>
  <c r="K642" i="5"/>
  <c r="K641" i="5"/>
  <c r="J641" i="5"/>
  <c r="K640" i="5"/>
  <c r="J640" i="5"/>
  <c r="K639" i="5"/>
  <c r="J639" i="5"/>
  <c r="K638" i="5"/>
  <c r="J638" i="5"/>
  <c r="K637" i="5"/>
  <c r="J637" i="5"/>
  <c r="F636" i="5"/>
  <c r="K636" i="5" s="1"/>
  <c r="F635" i="5"/>
  <c r="J635" i="5" s="1"/>
  <c r="K634" i="5"/>
  <c r="J634" i="5"/>
  <c r="K631" i="5"/>
  <c r="H580" i="5"/>
  <c r="K591" i="5"/>
  <c r="J591" i="5"/>
  <c r="K590" i="5"/>
  <c r="J590" i="5"/>
  <c r="K589" i="5"/>
  <c r="J589" i="5"/>
  <c r="K588" i="5"/>
  <c r="J588" i="5"/>
  <c r="K587" i="5"/>
  <c r="J587" i="5"/>
  <c r="K586" i="5"/>
  <c r="J586" i="5"/>
  <c r="K585" i="5"/>
  <c r="J585" i="5"/>
  <c r="K584" i="5"/>
  <c r="J584" i="5"/>
  <c r="F583" i="5"/>
  <c r="K583" i="5" s="1"/>
  <c r="F582" i="5"/>
  <c r="K582" i="5" s="1"/>
  <c r="L581" i="5"/>
  <c r="K580" i="5"/>
  <c r="K579" i="5"/>
  <c r="K513" i="5"/>
  <c r="J513" i="5"/>
  <c r="K512" i="5"/>
  <c r="J512" i="5"/>
  <c r="F511" i="5"/>
  <c r="K511" i="5" s="1"/>
  <c r="F510" i="5"/>
  <c r="K510" i="5" s="1"/>
  <c r="F509" i="5"/>
  <c r="K509" i="5" s="1"/>
  <c r="F508" i="5"/>
  <c r="K508" i="5" s="1"/>
  <c r="F507" i="5"/>
  <c r="K507" i="5" s="1"/>
  <c r="F506" i="5"/>
  <c r="K506" i="5" s="1"/>
  <c r="F505" i="5"/>
  <c r="K505" i="5" s="1"/>
  <c r="F504" i="5"/>
  <c r="K504" i="5" s="1"/>
  <c r="F503" i="5"/>
  <c r="K503" i="5" s="1"/>
  <c r="F502" i="5"/>
  <c r="K502" i="5" s="1"/>
  <c r="F501" i="5"/>
  <c r="K501" i="5" s="1"/>
  <c r="F500" i="5"/>
  <c r="K500" i="5" s="1"/>
  <c r="F499" i="5"/>
  <c r="K499" i="5" s="1"/>
  <c r="K498" i="5"/>
  <c r="L498" i="5" s="1"/>
  <c r="K497" i="5"/>
  <c r="K496" i="5"/>
  <c r="J496" i="5"/>
  <c r="F495" i="5"/>
  <c r="K495" i="5" s="1"/>
  <c r="F494" i="5"/>
  <c r="K494" i="5" s="1"/>
  <c r="F493" i="5"/>
  <c r="K493" i="5" s="1"/>
  <c r="F492" i="5"/>
  <c r="K492" i="5" s="1"/>
  <c r="F491" i="5"/>
  <c r="K491" i="5" s="1"/>
  <c r="F490" i="5"/>
  <c r="K490" i="5" s="1"/>
  <c r="F489" i="5"/>
  <c r="K489" i="5" s="1"/>
  <c r="F488" i="5"/>
  <c r="K488" i="5" s="1"/>
  <c r="F487" i="5"/>
  <c r="K487" i="5" s="1"/>
  <c r="K486" i="5"/>
  <c r="K485" i="5"/>
  <c r="K484" i="5"/>
  <c r="J484" i="5"/>
  <c r="K483" i="5"/>
  <c r="J483" i="5"/>
  <c r="F482" i="5"/>
  <c r="K482" i="5" s="1"/>
  <c r="F481" i="5"/>
  <c r="K481" i="5" s="1"/>
  <c r="F480" i="5"/>
  <c r="K480" i="5" s="1"/>
  <c r="F479" i="5"/>
  <c r="K479" i="5" s="1"/>
  <c r="F478" i="5"/>
  <c r="K478" i="5" s="1"/>
  <c r="F477" i="5"/>
  <c r="K477" i="5" s="1"/>
  <c r="F476" i="5"/>
  <c r="K476" i="5" s="1"/>
  <c r="K475" i="5"/>
  <c r="L475" i="5" s="1"/>
  <c r="K474" i="5"/>
  <c r="L473" i="5"/>
  <c r="K472" i="5"/>
  <c r="J472" i="5"/>
  <c r="K471" i="5"/>
  <c r="J471" i="5"/>
  <c r="F339" i="5"/>
  <c r="J339" i="5" s="1"/>
  <c r="F338" i="5"/>
  <c r="J338" i="5" s="1"/>
  <c r="F337" i="5"/>
  <c r="J337" i="5" s="1"/>
  <c r="K336" i="5"/>
  <c r="J336" i="5"/>
  <c r="K335" i="5"/>
  <c r="J335" i="5"/>
  <c r="K334" i="5"/>
  <c r="J334" i="5"/>
  <c r="F333" i="5"/>
  <c r="K333" i="5" s="1"/>
  <c r="F332" i="5"/>
  <c r="K332" i="5" s="1"/>
  <c r="F331" i="5"/>
  <c r="K331" i="5" s="1"/>
  <c r="F330" i="5"/>
  <c r="K330" i="5" s="1"/>
  <c r="F329" i="5"/>
  <c r="K329" i="5" s="1"/>
  <c r="F328" i="5"/>
  <c r="K328" i="5" s="1"/>
  <c r="L327" i="5"/>
  <c r="K326" i="5"/>
  <c r="J326" i="5"/>
  <c r="K325" i="5"/>
  <c r="J8" i="3"/>
  <c r="M8" i="3" s="1"/>
  <c r="K28" i="3"/>
  <c r="K26" i="3"/>
  <c r="J26" i="3"/>
  <c r="K25" i="3"/>
  <c r="J25" i="3"/>
  <c r="M25" i="3" s="1"/>
  <c r="K24" i="3"/>
  <c r="J24" i="3"/>
  <c r="M24" i="3" s="1"/>
  <c r="K23" i="3"/>
  <c r="J23" i="3"/>
  <c r="M23" i="3" s="1"/>
  <c r="F22" i="3"/>
  <c r="J22" i="3" s="1"/>
  <c r="F21" i="3"/>
  <c r="J21" i="3" s="1"/>
  <c r="F20" i="3"/>
  <c r="J20" i="3" s="1"/>
  <c r="F19" i="3"/>
  <c r="J19" i="3" s="1"/>
  <c r="F18" i="3"/>
  <c r="J18" i="3" s="1"/>
  <c r="F17" i="3"/>
  <c r="J17" i="3" s="1"/>
  <c r="F16" i="3"/>
  <c r="J16" i="3" s="1"/>
  <c r="F15" i="3"/>
  <c r="J15" i="3" s="1"/>
  <c r="F14" i="3"/>
  <c r="J14" i="3" s="1"/>
  <c r="F13" i="3"/>
  <c r="J13" i="3" s="1"/>
  <c r="F12" i="3"/>
  <c r="J12" i="3" s="1"/>
  <c r="F11" i="3"/>
  <c r="J11" i="3" s="1"/>
  <c r="F10" i="3"/>
  <c r="J10" i="3" s="1"/>
  <c r="K7" i="3"/>
  <c r="J337" i="3"/>
  <c r="F358" i="3"/>
  <c r="J358" i="3" s="1"/>
  <c r="F357" i="3"/>
  <c r="J357" i="3" s="1"/>
  <c r="F356" i="3"/>
  <c r="J356" i="3" s="1"/>
  <c r="K355" i="3"/>
  <c r="J355" i="3"/>
  <c r="K354" i="3"/>
  <c r="J354" i="3"/>
  <c r="K353" i="3"/>
  <c r="J353" i="3"/>
  <c r="F352" i="3"/>
  <c r="K352" i="3" s="1"/>
  <c r="F351" i="3"/>
  <c r="K351" i="3" s="1"/>
  <c r="F350" i="3"/>
  <c r="K350" i="3" s="1"/>
  <c r="F349" i="3"/>
  <c r="K349" i="3" s="1"/>
  <c r="F348" i="3"/>
  <c r="K348" i="3" s="1"/>
  <c r="F347" i="3"/>
  <c r="K347" i="3" s="1"/>
  <c r="F346" i="3"/>
  <c r="K346" i="3" s="1"/>
  <c r="F345" i="3"/>
  <c r="K345" i="3" s="1"/>
  <c r="F344" i="3"/>
  <c r="K344" i="3" s="1"/>
  <c r="F343" i="3"/>
  <c r="K343" i="3" s="1"/>
  <c r="F342" i="3"/>
  <c r="K342" i="3" s="1"/>
  <c r="F341" i="3"/>
  <c r="K341" i="3" s="1"/>
  <c r="F340" i="3"/>
  <c r="K340" i="3" s="1"/>
  <c r="F339" i="3"/>
  <c r="K339" i="3" s="1"/>
  <c r="M337" i="3"/>
  <c r="K336" i="3"/>
  <c r="J143" i="3"/>
  <c r="K152" i="3"/>
  <c r="J152" i="3"/>
  <c r="K151" i="3"/>
  <c r="J151" i="3"/>
  <c r="F150" i="3"/>
  <c r="J150" i="3" s="1"/>
  <c r="F149" i="3"/>
  <c r="J149" i="3" s="1"/>
  <c r="F148" i="3"/>
  <c r="J148" i="3" s="1"/>
  <c r="F147" i="3"/>
  <c r="J147" i="3" s="1"/>
  <c r="F146" i="3"/>
  <c r="J146" i="3" s="1"/>
  <c r="G145" i="3"/>
  <c r="F145" i="3"/>
  <c r="K142" i="3"/>
  <c r="J322" i="3"/>
  <c r="M322" i="3" s="1"/>
  <c r="J313" i="3"/>
  <c r="J300" i="3"/>
  <c r="M300" i="3" s="1"/>
  <c r="K335" i="3"/>
  <c r="J335" i="3"/>
  <c r="K334" i="3"/>
  <c r="J334" i="3"/>
  <c r="K333" i="3"/>
  <c r="J333" i="3"/>
  <c r="F332" i="3"/>
  <c r="K332" i="3" s="1"/>
  <c r="F331" i="3"/>
  <c r="K331" i="3" s="1"/>
  <c r="F330" i="3"/>
  <c r="K330" i="3" s="1"/>
  <c r="F329" i="3"/>
  <c r="K329" i="3" s="1"/>
  <c r="F328" i="3"/>
  <c r="K328" i="3" s="1"/>
  <c r="F327" i="3"/>
  <c r="K327" i="3" s="1"/>
  <c r="F326" i="3"/>
  <c r="K326" i="3" s="1"/>
  <c r="F325" i="3"/>
  <c r="K325" i="3" s="1"/>
  <c r="F324" i="3"/>
  <c r="K324" i="3" s="1"/>
  <c r="F323" i="3"/>
  <c r="K323" i="3" s="1"/>
  <c r="K321" i="3"/>
  <c r="F320" i="3"/>
  <c r="K320" i="3" s="1"/>
  <c r="F319" i="3"/>
  <c r="K319" i="3" s="1"/>
  <c r="F318" i="3"/>
  <c r="K318" i="3" s="1"/>
  <c r="F317" i="3"/>
  <c r="K317" i="3" s="1"/>
  <c r="F316" i="3"/>
  <c r="K316" i="3" s="1"/>
  <c r="F315" i="3"/>
  <c r="K315" i="3" s="1"/>
  <c r="F314" i="3"/>
  <c r="K314" i="3" s="1"/>
  <c r="M313" i="3"/>
  <c r="K312" i="3"/>
  <c r="K311" i="3"/>
  <c r="J311" i="3"/>
  <c r="K310" i="3"/>
  <c r="J310" i="3"/>
  <c r="K309" i="3"/>
  <c r="J309" i="3"/>
  <c r="F308" i="3"/>
  <c r="J308" i="3" s="1"/>
  <c r="F307" i="3"/>
  <c r="J307" i="3" s="1"/>
  <c r="F306" i="3"/>
  <c r="J306" i="3" s="1"/>
  <c r="F305" i="3"/>
  <c r="J305" i="3" s="1"/>
  <c r="F304" i="3"/>
  <c r="J304" i="3" s="1"/>
  <c r="F303" i="3"/>
  <c r="J303" i="3" s="1"/>
  <c r="F302" i="3"/>
  <c r="J302" i="3" s="1"/>
  <c r="F301" i="3"/>
  <c r="J301" i="3" s="1"/>
  <c r="K299" i="3"/>
  <c r="J291" i="3"/>
  <c r="M291" i="3" s="1"/>
  <c r="J274" i="3"/>
  <c r="K298" i="3"/>
  <c r="J298" i="3"/>
  <c r="F297" i="3"/>
  <c r="K297" i="3" s="1"/>
  <c r="F296" i="3"/>
  <c r="K296" i="3" s="1"/>
  <c r="F295" i="3"/>
  <c r="K295" i="3" s="1"/>
  <c r="F294" i="3"/>
  <c r="K294" i="3" s="1"/>
  <c r="F293" i="3"/>
  <c r="K293" i="3" s="1"/>
  <c r="G292" i="3"/>
  <c r="F292" i="3"/>
  <c r="K290" i="3"/>
  <c r="K289" i="3"/>
  <c r="J289" i="3"/>
  <c r="K288" i="3"/>
  <c r="J288" i="3"/>
  <c r="K287" i="3"/>
  <c r="J287" i="3"/>
  <c r="F286" i="3"/>
  <c r="K286" i="3" s="1"/>
  <c r="F285" i="3"/>
  <c r="K285" i="3" s="1"/>
  <c r="K284" i="3"/>
  <c r="J284" i="3"/>
  <c r="F283" i="3"/>
  <c r="K283" i="3" s="1"/>
  <c r="F282" i="3"/>
  <c r="K282" i="3" s="1"/>
  <c r="F281" i="3"/>
  <c r="K281" i="3" s="1"/>
  <c r="F280" i="3"/>
  <c r="K280" i="3" s="1"/>
  <c r="F279" i="3"/>
  <c r="K279" i="3" s="1"/>
  <c r="F278" i="3"/>
  <c r="K278" i="3" s="1"/>
  <c r="F277" i="3"/>
  <c r="K277" i="3" s="1"/>
  <c r="F276" i="3"/>
  <c r="K276" i="3" s="1"/>
  <c r="F275" i="3"/>
  <c r="K275" i="3" s="1"/>
  <c r="M274" i="3"/>
  <c r="K273" i="3"/>
  <c r="K152" i="5"/>
  <c r="J152" i="5"/>
  <c r="K151" i="5"/>
  <c r="J151" i="5"/>
  <c r="K150" i="5"/>
  <c r="J150" i="5"/>
  <c r="L150" i="5" s="1"/>
  <c r="K149" i="5"/>
  <c r="J149" i="5"/>
  <c r="L149" i="5" s="1"/>
  <c r="F148" i="5"/>
  <c r="J148" i="5" s="1"/>
  <c r="F147" i="5"/>
  <c r="J147" i="5" s="1"/>
  <c r="F146" i="5"/>
  <c r="J146" i="5" s="1"/>
  <c r="F145" i="5"/>
  <c r="J145" i="5" s="1"/>
  <c r="F144" i="5"/>
  <c r="K144" i="5" s="1"/>
  <c r="F143" i="5"/>
  <c r="K143" i="5" s="1"/>
  <c r="F142" i="5"/>
  <c r="K142" i="5" s="1"/>
  <c r="F141" i="5"/>
  <c r="K141" i="5" s="1"/>
  <c r="F140" i="5"/>
  <c r="K140" i="5" s="1"/>
  <c r="F139" i="5"/>
  <c r="K139" i="5" s="1"/>
  <c r="F138" i="5"/>
  <c r="K138" i="5" s="1"/>
  <c r="F137" i="5"/>
  <c r="K137" i="5" s="1"/>
  <c r="F136" i="5"/>
  <c r="K136" i="5" s="1"/>
  <c r="F135" i="5"/>
  <c r="K135" i="5" s="1"/>
  <c r="L134" i="5"/>
  <c r="K133" i="5"/>
  <c r="J133" i="5"/>
  <c r="K132" i="5"/>
  <c r="K168" i="5"/>
  <c r="L169" i="5"/>
  <c r="F170" i="5"/>
  <c r="J170" i="5"/>
  <c r="K170" i="5"/>
  <c r="F171" i="5"/>
  <c r="J171" i="5" s="1"/>
  <c r="F172" i="5"/>
  <c r="J172" i="5" s="1"/>
  <c r="F173" i="5"/>
  <c r="J173" i="5" s="1"/>
  <c r="F174" i="5"/>
  <c r="J174" i="5" s="1"/>
  <c r="F175" i="5"/>
  <c r="J175" i="5" s="1"/>
  <c r="F176" i="5"/>
  <c r="J176" i="5" s="1"/>
  <c r="F177" i="5"/>
  <c r="J177" i="5" s="1"/>
  <c r="F178" i="5"/>
  <c r="J178" i="5" s="1"/>
  <c r="F179" i="5"/>
  <c r="J179" i="5" s="1"/>
  <c r="F180" i="5"/>
  <c r="J180" i="5" s="1"/>
  <c r="F181" i="5"/>
  <c r="J181" i="5" s="1"/>
  <c r="F182" i="5"/>
  <c r="J182" i="5" s="1"/>
  <c r="J183" i="5"/>
  <c r="K183" i="5"/>
  <c r="J184" i="5"/>
  <c r="K184" i="5"/>
  <c r="J185" i="5"/>
  <c r="K185" i="5"/>
  <c r="J186" i="5"/>
  <c r="K186" i="5"/>
  <c r="J187" i="5"/>
  <c r="K187" i="5"/>
  <c r="L187" i="5"/>
  <c r="K188" i="5"/>
  <c r="L7" i="10" l="1"/>
  <c r="J1443" i="10"/>
  <c r="M1420" i="10"/>
  <c r="L1420" i="10"/>
  <c r="M1405" i="10"/>
  <c r="L1405" i="10"/>
  <c r="M1226" i="10"/>
  <c r="L1226" i="10"/>
  <c r="J7" i="5"/>
  <c r="L7" i="5" s="1"/>
  <c r="L9" i="5"/>
  <c r="J89" i="5"/>
  <c r="L89" i="5" s="1"/>
  <c r="L92" i="5"/>
  <c r="L183" i="5"/>
  <c r="L513" i="5"/>
  <c r="J654" i="5"/>
  <c r="J1075" i="5"/>
  <c r="J1076" i="5"/>
  <c r="L1076" i="5" s="1"/>
  <c r="L1087" i="5"/>
  <c r="L1088" i="5"/>
  <c r="L1089" i="5"/>
  <c r="L1073" i="5"/>
  <c r="J1077" i="5"/>
  <c r="L1077" i="5" s="1"/>
  <c r="J1078" i="5"/>
  <c r="L1078" i="5" s="1"/>
  <c r="J1079" i="5"/>
  <c r="L1079" i="5" s="1"/>
  <c r="J1080" i="5"/>
  <c r="L1080" i="5" s="1"/>
  <c r="J1081" i="5"/>
  <c r="L1081" i="5" s="1"/>
  <c r="J1082" i="5"/>
  <c r="L1082" i="5" s="1"/>
  <c r="J1083" i="5"/>
  <c r="L1083" i="5" s="1"/>
  <c r="J1084" i="5"/>
  <c r="L1084" i="5" s="1"/>
  <c r="J1085" i="5"/>
  <c r="L1085" i="5" s="1"/>
  <c r="J1086" i="5"/>
  <c r="L1086" i="5" s="1"/>
  <c r="L151" i="5"/>
  <c r="L334" i="5"/>
  <c r="L335" i="5"/>
  <c r="L336" i="5"/>
  <c r="L496" i="5"/>
  <c r="J499" i="5"/>
  <c r="L499" i="5" s="1"/>
  <c r="J500" i="5"/>
  <c r="L500" i="5" s="1"/>
  <c r="J501" i="5"/>
  <c r="L501" i="5" s="1"/>
  <c r="J502" i="5"/>
  <c r="L502" i="5" s="1"/>
  <c r="J503" i="5"/>
  <c r="J582" i="5"/>
  <c r="J636" i="5"/>
  <c r="J646" i="5"/>
  <c r="L185" i="5"/>
  <c r="L184" i="5"/>
  <c r="K171" i="5"/>
  <c r="L171" i="5" s="1"/>
  <c r="J631" i="5"/>
  <c r="L186" i="5"/>
  <c r="K182" i="5"/>
  <c r="K181" i="5"/>
  <c r="K180" i="5"/>
  <c r="K179" i="5"/>
  <c r="K178" i="5"/>
  <c r="K177" i="5"/>
  <c r="K176" i="5"/>
  <c r="K175" i="5"/>
  <c r="K174" i="5"/>
  <c r="K173" i="5"/>
  <c r="K172" i="5"/>
  <c r="L170" i="5"/>
  <c r="L133" i="5"/>
  <c r="J135" i="5"/>
  <c r="J136" i="5"/>
  <c r="J137" i="5"/>
  <c r="J138" i="5"/>
  <c r="J139" i="5"/>
  <c r="J140" i="5"/>
  <c r="J141" i="5"/>
  <c r="J142" i="5"/>
  <c r="J143" i="5"/>
  <c r="J144" i="5"/>
  <c r="L326" i="5"/>
  <c r="J328" i="5"/>
  <c r="J329" i="5"/>
  <c r="L329" i="5" s="1"/>
  <c r="J330" i="5"/>
  <c r="L330" i="5" s="1"/>
  <c r="J331" i="5"/>
  <c r="L331" i="5" s="1"/>
  <c r="J332" i="5"/>
  <c r="L332" i="5" s="1"/>
  <c r="J333" i="5"/>
  <c r="L333" i="5" s="1"/>
  <c r="L471" i="5"/>
  <c r="L472" i="5"/>
  <c r="L483" i="5"/>
  <c r="L484" i="5"/>
  <c r="J487" i="5"/>
  <c r="J488" i="5"/>
  <c r="J489" i="5"/>
  <c r="J490" i="5"/>
  <c r="J491" i="5"/>
  <c r="J492" i="5"/>
  <c r="J493" i="5"/>
  <c r="J494" i="5"/>
  <c r="J495" i="5"/>
  <c r="J505" i="5"/>
  <c r="J506" i="5"/>
  <c r="J507" i="5"/>
  <c r="J508" i="5"/>
  <c r="J509" i="5"/>
  <c r="J510" i="5"/>
  <c r="J511" i="5"/>
  <c r="J661" i="5"/>
  <c r="L182" i="5"/>
  <c r="L181" i="5"/>
  <c r="L180" i="5"/>
  <c r="L179" i="5"/>
  <c r="L178" i="5"/>
  <c r="L177" i="5"/>
  <c r="L176" i="5"/>
  <c r="L175" i="5"/>
  <c r="L174" i="5"/>
  <c r="L173" i="5"/>
  <c r="L172" i="5"/>
  <c r="J648" i="5"/>
  <c r="J652" i="5"/>
  <c r="J656" i="5"/>
  <c r="J659" i="5"/>
  <c r="J663" i="5"/>
  <c r="K635" i="5"/>
  <c r="K645" i="5"/>
  <c r="K647" i="5"/>
  <c r="K649" i="5"/>
  <c r="K651" i="5"/>
  <c r="K653" i="5"/>
  <c r="K655" i="5"/>
  <c r="K660" i="5"/>
  <c r="K662" i="5"/>
  <c r="J580" i="5"/>
  <c r="J583" i="5"/>
  <c r="L487" i="5"/>
  <c r="L488" i="5"/>
  <c r="L489" i="5"/>
  <c r="L490" i="5"/>
  <c r="L491" i="5"/>
  <c r="L492" i="5"/>
  <c r="L493" i="5"/>
  <c r="L494" i="5"/>
  <c r="L495" i="5"/>
  <c r="L505" i="5"/>
  <c r="L506" i="5"/>
  <c r="L507" i="5"/>
  <c r="L508" i="5"/>
  <c r="L509" i="5"/>
  <c r="L510" i="5"/>
  <c r="J476" i="5"/>
  <c r="J477" i="5"/>
  <c r="L477" i="5" s="1"/>
  <c r="J478" i="5"/>
  <c r="L478" i="5" s="1"/>
  <c r="J479" i="5"/>
  <c r="L479" i="5" s="1"/>
  <c r="J480" i="5"/>
  <c r="L480" i="5" s="1"/>
  <c r="J481" i="5"/>
  <c r="L481" i="5" s="1"/>
  <c r="J482" i="5"/>
  <c r="L482" i="5" s="1"/>
  <c r="J504" i="5"/>
  <c r="J497" i="5" s="1"/>
  <c r="L497" i="5" s="1"/>
  <c r="L328" i="5"/>
  <c r="K337" i="5"/>
  <c r="L337" i="5" s="1"/>
  <c r="K338" i="5"/>
  <c r="L338" i="5" s="1"/>
  <c r="K339" i="5"/>
  <c r="L339" i="5" s="1"/>
  <c r="L152" i="5"/>
  <c r="M26" i="3"/>
  <c r="J7" i="3"/>
  <c r="M7" i="3" s="1"/>
  <c r="K10" i="3"/>
  <c r="M10" i="3" s="1"/>
  <c r="K11" i="3"/>
  <c r="M11" i="3" s="1"/>
  <c r="K12" i="3"/>
  <c r="M12" i="3" s="1"/>
  <c r="K13" i="3"/>
  <c r="M13" i="3" s="1"/>
  <c r="K14" i="3"/>
  <c r="M14" i="3" s="1"/>
  <c r="K15" i="3"/>
  <c r="M15" i="3" s="1"/>
  <c r="K16" i="3"/>
  <c r="M16" i="3" s="1"/>
  <c r="K17" i="3"/>
  <c r="M17" i="3" s="1"/>
  <c r="K18" i="3"/>
  <c r="M18" i="3" s="1"/>
  <c r="K19" i="3"/>
  <c r="M19" i="3" s="1"/>
  <c r="K20" i="3"/>
  <c r="M20" i="3" s="1"/>
  <c r="K21" i="3"/>
  <c r="M21" i="3" s="1"/>
  <c r="K22" i="3"/>
  <c r="M22" i="3" s="1"/>
  <c r="M353" i="3"/>
  <c r="M354" i="3"/>
  <c r="M355" i="3"/>
  <c r="K145" i="3"/>
  <c r="M151" i="3"/>
  <c r="M152" i="3"/>
  <c r="M333" i="3"/>
  <c r="M334" i="3"/>
  <c r="M335" i="3"/>
  <c r="J339" i="3"/>
  <c r="J340" i="3"/>
  <c r="M340" i="3" s="1"/>
  <c r="J341" i="3"/>
  <c r="M341" i="3" s="1"/>
  <c r="J342" i="3"/>
  <c r="M342" i="3" s="1"/>
  <c r="J343" i="3"/>
  <c r="M343" i="3" s="1"/>
  <c r="J344" i="3"/>
  <c r="M344" i="3" s="1"/>
  <c r="J345" i="3"/>
  <c r="M345" i="3" s="1"/>
  <c r="J346" i="3"/>
  <c r="M346" i="3" s="1"/>
  <c r="J347" i="3"/>
  <c r="M347" i="3" s="1"/>
  <c r="J348" i="3"/>
  <c r="M348" i="3" s="1"/>
  <c r="J349" i="3"/>
  <c r="M349" i="3" s="1"/>
  <c r="J350" i="3"/>
  <c r="M350" i="3" s="1"/>
  <c r="J351" i="3"/>
  <c r="M351" i="3" s="1"/>
  <c r="J352" i="3"/>
  <c r="M352" i="3" s="1"/>
  <c r="K356" i="3"/>
  <c r="M356" i="3" s="1"/>
  <c r="K357" i="3"/>
  <c r="M357" i="3" s="1"/>
  <c r="K358" i="3"/>
  <c r="M358" i="3" s="1"/>
  <c r="J145" i="3"/>
  <c r="J142" i="3" s="1"/>
  <c r="M142" i="3" s="1"/>
  <c r="M284" i="3"/>
  <c r="M287" i="3"/>
  <c r="M288" i="3"/>
  <c r="M289" i="3"/>
  <c r="K292" i="3"/>
  <c r="M298" i="3"/>
  <c r="J314" i="3"/>
  <c r="M314" i="3" s="1"/>
  <c r="J315" i="3"/>
  <c r="M315" i="3" s="1"/>
  <c r="J316" i="3"/>
  <c r="J317" i="3"/>
  <c r="M317" i="3" s="1"/>
  <c r="J318" i="3"/>
  <c r="M318" i="3" s="1"/>
  <c r="J319" i="3"/>
  <c r="M319" i="3" s="1"/>
  <c r="J320" i="3"/>
  <c r="M320" i="3" s="1"/>
  <c r="K146" i="3"/>
  <c r="M146" i="3" s="1"/>
  <c r="K147" i="3"/>
  <c r="M147" i="3" s="1"/>
  <c r="K148" i="3"/>
  <c r="M148" i="3" s="1"/>
  <c r="K149" i="3"/>
  <c r="M149" i="3" s="1"/>
  <c r="K150" i="3"/>
  <c r="M150" i="3" s="1"/>
  <c r="J275" i="3"/>
  <c r="M275" i="3" s="1"/>
  <c r="J276" i="3"/>
  <c r="M276" i="3" s="1"/>
  <c r="J277" i="3"/>
  <c r="M277" i="3" s="1"/>
  <c r="J278" i="3"/>
  <c r="M278" i="3" s="1"/>
  <c r="J279" i="3"/>
  <c r="M279" i="3" s="1"/>
  <c r="J280" i="3"/>
  <c r="M280" i="3" s="1"/>
  <c r="J281" i="3"/>
  <c r="M281" i="3" s="1"/>
  <c r="J282" i="3"/>
  <c r="M282" i="3" s="1"/>
  <c r="J283" i="3"/>
  <c r="M283" i="3" s="1"/>
  <c r="J292" i="3"/>
  <c r="M309" i="3"/>
  <c r="M310" i="3"/>
  <c r="M311" i="3"/>
  <c r="J323" i="3"/>
  <c r="M323" i="3" s="1"/>
  <c r="J324" i="3"/>
  <c r="M324" i="3" s="1"/>
  <c r="J325" i="3"/>
  <c r="M325" i="3" s="1"/>
  <c r="J326" i="3"/>
  <c r="M326" i="3" s="1"/>
  <c r="J327" i="3"/>
  <c r="M327" i="3" s="1"/>
  <c r="J328" i="3"/>
  <c r="M328" i="3" s="1"/>
  <c r="J329" i="3"/>
  <c r="M329" i="3" s="1"/>
  <c r="J330" i="3"/>
  <c r="M330" i="3" s="1"/>
  <c r="J331" i="3"/>
  <c r="M331" i="3" s="1"/>
  <c r="J332" i="3"/>
  <c r="M332" i="3" s="1"/>
  <c r="J299" i="3"/>
  <c r="M299" i="3" s="1"/>
  <c r="M316" i="3"/>
  <c r="K301" i="3"/>
  <c r="M301" i="3" s="1"/>
  <c r="K302" i="3"/>
  <c r="M302" i="3" s="1"/>
  <c r="K303" i="3"/>
  <c r="M303" i="3" s="1"/>
  <c r="K304" i="3"/>
  <c r="M304" i="3" s="1"/>
  <c r="K305" i="3"/>
  <c r="M305" i="3" s="1"/>
  <c r="K306" i="3"/>
  <c r="M306" i="3" s="1"/>
  <c r="K307" i="3"/>
  <c r="M307" i="3" s="1"/>
  <c r="K308" i="3"/>
  <c r="M308" i="3" s="1"/>
  <c r="J285" i="3"/>
  <c r="M285" i="3" s="1"/>
  <c r="J286" i="3"/>
  <c r="M286" i="3" s="1"/>
  <c r="J293" i="3"/>
  <c r="M293" i="3" s="1"/>
  <c r="J294" i="3"/>
  <c r="M294" i="3" s="1"/>
  <c r="J295" i="3"/>
  <c r="M295" i="3" s="1"/>
  <c r="J296" i="3"/>
  <c r="M296" i="3" s="1"/>
  <c r="J297" i="3"/>
  <c r="M297" i="3" s="1"/>
  <c r="J132" i="5"/>
  <c r="L132" i="5" s="1"/>
  <c r="L135" i="5"/>
  <c r="L136" i="5"/>
  <c r="L137" i="5"/>
  <c r="L138" i="5"/>
  <c r="L139" i="5"/>
  <c r="L140" i="5"/>
  <c r="L141" i="5"/>
  <c r="L142" i="5"/>
  <c r="L143" i="5"/>
  <c r="K145" i="5"/>
  <c r="L145" i="5" s="1"/>
  <c r="K146" i="5"/>
  <c r="L146" i="5" s="1"/>
  <c r="K147" i="5"/>
  <c r="L147" i="5" s="1"/>
  <c r="K148" i="5"/>
  <c r="L148" i="5" s="1"/>
  <c r="J168" i="5"/>
  <c r="L168" i="5" s="1"/>
  <c r="L1072" i="5" l="1"/>
  <c r="J657" i="5"/>
  <c r="J642" i="5"/>
  <c r="J485" i="5"/>
  <c r="J325" i="5"/>
  <c r="J579" i="5"/>
  <c r="L580" i="5"/>
  <c r="L476" i="5"/>
  <c r="J474" i="5"/>
  <c r="L474" i="5" s="1"/>
  <c r="M292" i="3"/>
  <c r="J312" i="3"/>
  <c r="M312" i="3" s="1"/>
  <c r="M145" i="3"/>
  <c r="J336" i="3"/>
  <c r="M336" i="3" s="1"/>
  <c r="M339" i="3"/>
  <c r="J321" i="3"/>
  <c r="M321" i="3" s="1"/>
  <c r="J290" i="3"/>
  <c r="M290" i="3" s="1"/>
  <c r="J273" i="3"/>
  <c r="M273" i="3" s="1"/>
  <c r="K27" i="3"/>
  <c r="J28" i="3"/>
  <c r="J27" i="3" s="1"/>
  <c r="K30" i="3"/>
  <c r="K31" i="3"/>
  <c r="F32" i="3"/>
  <c r="J32" i="3" s="1"/>
  <c r="F33" i="3"/>
  <c r="J33" i="3" s="1"/>
  <c r="F34" i="3"/>
  <c r="J34" i="3" s="1"/>
  <c r="F35" i="3"/>
  <c r="J35" i="3" s="1"/>
  <c r="F36" i="3"/>
  <c r="J36" i="3" s="1"/>
  <c r="F37" i="3"/>
  <c r="J37" i="3" s="1"/>
  <c r="F38" i="3"/>
  <c r="J38" i="3" s="1"/>
  <c r="F39" i="3"/>
  <c r="J39" i="3" s="1"/>
  <c r="F40" i="3"/>
  <c r="J40" i="3" s="1"/>
  <c r="K40" i="3"/>
  <c r="F41" i="3"/>
  <c r="J41" i="3" s="1"/>
  <c r="K41" i="3"/>
  <c r="F42" i="3"/>
  <c r="J42" i="3" s="1"/>
  <c r="K42" i="3"/>
  <c r="F43" i="3"/>
  <c r="J43" i="3" s="1"/>
  <c r="J44" i="3"/>
  <c r="K44" i="3"/>
  <c r="J45" i="3"/>
  <c r="K45" i="3"/>
  <c r="J46" i="3"/>
  <c r="K46" i="3"/>
  <c r="J47" i="3"/>
  <c r="K47" i="3"/>
  <c r="J48" i="3"/>
  <c r="K48" i="3"/>
  <c r="K49" i="3"/>
  <c r="F50" i="3"/>
  <c r="J50" i="3" s="1"/>
  <c r="K50" i="3"/>
  <c r="F51" i="3"/>
  <c r="J51" i="3" s="1"/>
  <c r="K51" i="3"/>
  <c r="J52" i="3"/>
  <c r="K52" i="3"/>
  <c r="J53" i="3"/>
  <c r="K53" i="3"/>
  <c r="F54" i="3"/>
  <c r="J54" i="3"/>
  <c r="K54" i="3"/>
  <c r="F55" i="3"/>
  <c r="J55" i="3" s="1"/>
  <c r="K56" i="3"/>
  <c r="F57" i="3"/>
  <c r="J57" i="3" s="1"/>
  <c r="F58" i="3"/>
  <c r="J58" i="3" s="1"/>
  <c r="K58" i="3"/>
  <c r="F59" i="3"/>
  <c r="J59" i="3" s="1"/>
  <c r="F60" i="3"/>
  <c r="J60" i="3" s="1"/>
  <c r="F61" i="3"/>
  <c r="J61" i="3" s="1"/>
  <c r="F62" i="3"/>
  <c r="J62" i="3" s="1"/>
  <c r="K63" i="3"/>
  <c r="K64" i="3"/>
  <c r="F65" i="3"/>
  <c r="J65" i="3" s="1"/>
  <c r="F66" i="3"/>
  <c r="J66" i="3" s="1"/>
  <c r="F67" i="3"/>
  <c r="J67" i="3" s="1"/>
  <c r="F68" i="3"/>
  <c r="J68" i="3" s="1"/>
  <c r="J69" i="3"/>
  <c r="K69" i="3"/>
  <c r="J70" i="3"/>
  <c r="K70" i="3"/>
  <c r="K71" i="3"/>
  <c r="K72" i="3"/>
  <c r="F73" i="3"/>
  <c r="J73" i="3" s="1"/>
  <c r="F74" i="3"/>
  <c r="J74" i="3" s="1"/>
  <c r="F75" i="3"/>
  <c r="J75" i="3" s="1"/>
  <c r="F76" i="3"/>
  <c r="J76" i="3" s="1"/>
  <c r="F77" i="3"/>
  <c r="J77" i="3" s="1"/>
  <c r="F78" i="3"/>
  <c r="J78" i="3" s="1"/>
  <c r="F79" i="3"/>
  <c r="J79" i="3" s="1"/>
  <c r="F80" i="3"/>
  <c r="J80" i="3" s="1"/>
  <c r="F81" i="3"/>
  <c r="J81" i="3" s="1"/>
  <c r="F82" i="3"/>
  <c r="J82" i="3" s="1"/>
  <c r="J83" i="3"/>
  <c r="K83" i="3"/>
  <c r="K84" i="3"/>
  <c r="K85" i="3"/>
  <c r="F86" i="3"/>
  <c r="J86" i="3" s="1"/>
  <c r="F87" i="3"/>
  <c r="J87" i="3" s="1"/>
  <c r="F88" i="3"/>
  <c r="J88" i="3" s="1"/>
  <c r="F89" i="3"/>
  <c r="J89" i="3" s="1"/>
  <c r="F90" i="3"/>
  <c r="J90" i="3" s="1"/>
  <c r="F91" i="3"/>
  <c r="J91" i="3" s="1"/>
  <c r="F92" i="3"/>
  <c r="J92" i="3" s="1"/>
  <c r="F93" i="3"/>
  <c r="J93" i="3" s="1"/>
  <c r="F94" i="3"/>
  <c r="J94" i="3" s="1"/>
  <c r="F95" i="3"/>
  <c r="J95" i="3" s="1"/>
  <c r="F96" i="3"/>
  <c r="J96" i="3" s="1"/>
  <c r="F97" i="3"/>
  <c r="J97" i="3" s="1"/>
  <c r="F98" i="3"/>
  <c r="J98" i="3" s="1"/>
  <c r="J99" i="3"/>
  <c r="K99" i="3"/>
  <c r="J100" i="3"/>
  <c r="K100" i="3"/>
  <c r="F101" i="3"/>
  <c r="J101" i="3" s="1"/>
  <c r="K101" i="3"/>
  <c r="K102" i="3"/>
  <c r="K103" i="3"/>
  <c r="F104" i="3"/>
  <c r="J104" i="3" s="1"/>
  <c r="F105" i="3"/>
  <c r="J105" i="3" s="1"/>
  <c r="F106" i="3"/>
  <c r="J106" i="3" s="1"/>
  <c r="F107" i="3"/>
  <c r="J107" i="3" s="1"/>
  <c r="F108" i="3"/>
  <c r="J108" i="3" s="1"/>
  <c r="F109" i="3"/>
  <c r="J109" i="3" s="1"/>
  <c r="F110" i="3"/>
  <c r="J110" i="3" s="1"/>
  <c r="J111" i="3"/>
  <c r="K111" i="3"/>
  <c r="J112" i="3"/>
  <c r="K112" i="3"/>
  <c r="F113" i="3"/>
  <c r="J113" i="3" s="1"/>
  <c r="F114" i="3"/>
  <c r="J114" i="3" s="1"/>
  <c r="F115" i="3"/>
  <c r="J115" i="3" s="1"/>
  <c r="K116" i="3"/>
  <c r="K117" i="3"/>
  <c r="F118" i="3"/>
  <c r="J118" i="3" s="1"/>
  <c r="F119" i="3"/>
  <c r="J119" i="3" s="1"/>
  <c r="F120" i="3"/>
  <c r="J120" i="3" s="1"/>
  <c r="F121" i="3"/>
  <c r="J121" i="3" s="1"/>
  <c r="F122" i="3"/>
  <c r="J122" i="3" s="1"/>
  <c r="F123" i="3"/>
  <c r="J123" i="3" s="1"/>
  <c r="F124" i="3"/>
  <c r="J124" i="3" s="1"/>
  <c r="F125" i="3"/>
  <c r="J125" i="3" s="1"/>
  <c r="F126" i="3"/>
  <c r="J126" i="3" s="1"/>
  <c r="F127" i="3"/>
  <c r="J127" i="3" s="1"/>
  <c r="F128" i="3"/>
  <c r="J128" i="3" s="1"/>
  <c r="F129" i="3"/>
  <c r="J129" i="3" s="1"/>
  <c r="J130" i="3"/>
  <c r="K130" i="3"/>
  <c r="J131" i="3"/>
  <c r="K131" i="3"/>
  <c r="J132" i="3"/>
  <c r="K132" i="3"/>
  <c r="K133" i="3"/>
  <c r="J134" i="3"/>
  <c r="F136" i="3"/>
  <c r="G136" i="3"/>
  <c r="F137" i="3"/>
  <c r="J137" i="3" s="1"/>
  <c r="F138" i="3"/>
  <c r="J138" i="3" s="1"/>
  <c r="F139" i="3"/>
  <c r="J139" i="3" s="1"/>
  <c r="J140" i="3"/>
  <c r="K140" i="3"/>
  <c r="J141" i="3"/>
  <c r="K141" i="3"/>
  <c r="K153" i="3"/>
  <c r="J154" i="3"/>
  <c r="F156" i="3"/>
  <c r="J156" i="3" s="1"/>
  <c r="K156" i="3"/>
  <c r="F157" i="3"/>
  <c r="J157" i="3" s="1"/>
  <c r="F158" i="3"/>
  <c r="J158" i="3" s="1"/>
  <c r="F159" i="3"/>
  <c r="J159" i="3" s="1"/>
  <c r="F160" i="3"/>
  <c r="J160" i="3" s="1"/>
  <c r="F161" i="3"/>
  <c r="J161" i="3" s="1"/>
  <c r="F162" i="3"/>
  <c r="J162" i="3" s="1"/>
  <c r="F163" i="3"/>
  <c r="J163" i="3" s="1"/>
  <c r="F164" i="3"/>
  <c r="J164" i="3" s="1"/>
  <c r="K164" i="3"/>
  <c r="F165" i="3"/>
  <c r="J165" i="3" s="1"/>
  <c r="J166" i="3"/>
  <c r="K166" i="3"/>
  <c r="F167" i="3"/>
  <c r="J167" i="3" s="1"/>
  <c r="F168" i="3"/>
  <c r="J168" i="3" s="1"/>
  <c r="F169" i="3"/>
  <c r="J169" i="3" s="1"/>
  <c r="F170" i="3"/>
  <c r="J170" i="3" s="1"/>
  <c r="F171" i="3"/>
  <c r="J171" i="3" s="1"/>
  <c r="F172" i="3"/>
  <c r="J172" i="3" s="1"/>
  <c r="F173" i="3"/>
  <c r="J173" i="3" s="1"/>
  <c r="K173" i="3"/>
  <c r="J174" i="3"/>
  <c r="K174" i="3"/>
  <c r="J175" i="3"/>
  <c r="K175" i="3"/>
  <c r="K176" i="3"/>
  <c r="F178" i="3"/>
  <c r="J178" i="3" s="1"/>
  <c r="F179" i="3"/>
  <c r="J179" i="3" s="1"/>
  <c r="F180" i="3"/>
  <c r="J180" i="3" s="1"/>
  <c r="F181" i="3"/>
  <c r="J181" i="3" s="1"/>
  <c r="F182" i="3"/>
  <c r="J182" i="3" s="1"/>
  <c r="K182" i="3"/>
  <c r="F183" i="3"/>
  <c r="J183" i="3" s="1"/>
  <c r="F184" i="3"/>
  <c r="J184" i="3" s="1"/>
  <c r="F185" i="3"/>
  <c r="J185" i="3" s="1"/>
  <c r="F186" i="3"/>
  <c r="J186" i="3" s="1"/>
  <c r="F187" i="3"/>
  <c r="J187" i="3" s="1"/>
  <c r="F188" i="3"/>
  <c r="J188" i="3" s="1"/>
  <c r="F189" i="3"/>
  <c r="J189" i="3" s="1"/>
  <c r="F190" i="3"/>
  <c r="J190" i="3" s="1"/>
  <c r="K190" i="3"/>
  <c r="F191" i="3"/>
  <c r="J191" i="3" s="1"/>
  <c r="F192" i="3"/>
  <c r="J192" i="3" s="1"/>
  <c r="F193" i="3"/>
  <c r="J193" i="3" s="1"/>
  <c r="F194" i="3"/>
  <c r="J194" i="3" s="1"/>
  <c r="F195" i="3"/>
  <c r="J195" i="3" s="1"/>
  <c r="J196" i="3"/>
  <c r="K196" i="3"/>
  <c r="J197" i="3"/>
  <c r="K197" i="3"/>
  <c r="J198" i="3"/>
  <c r="K198" i="3"/>
  <c r="J199" i="3"/>
  <c r="K199" i="3"/>
  <c r="J200" i="3"/>
  <c r="K200" i="3"/>
  <c r="K201" i="3"/>
  <c r="J202" i="3"/>
  <c r="F204" i="3"/>
  <c r="J204" i="3" s="1"/>
  <c r="F205" i="3"/>
  <c r="J205" i="3" s="1"/>
  <c r="F206" i="3"/>
  <c r="J206" i="3" s="1"/>
  <c r="F207" i="3"/>
  <c r="J207" i="3" s="1"/>
  <c r="F208" i="3"/>
  <c r="J208" i="3" s="1"/>
  <c r="K208" i="3"/>
  <c r="F209" i="3"/>
  <c r="J209" i="3" s="1"/>
  <c r="F210" i="3"/>
  <c r="J210" i="3" s="1"/>
  <c r="J211" i="3"/>
  <c r="K211" i="3"/>
  <c r="J212" i="3"/>
  <c r="K212" i="3"/>
  <c r="F213" i="3"/>
  <c r="J213" i="3" s="1"/>
  <c r="K214" i="3"/>
  <c r="F216" i="3"/>
  <c r="J216" i="3" s="1"/>
  <c r="F217" i="3"/>
  <c r="J217" i="3" s="1"/>
  <c r="F218" i="3"/>
  <c r="J218" i="3" s="1"/>
  <c r="J219" i="3"/>
  <c r="K219" i="3"/>
  <c r="K220" i="3"/>
  <c r="F222" i="3"/>
  <c r="J222" i="3" s="1"/>
  <c r="F223" i="3"/>
  <c r="J223" i="3" s="1"/>
  <c r="F224" i="3"/>
  <c r="J224" i="3" s="1"/>
  <c r="F225" i="3"/>
  <c r="J225" i="3" s="1"/>
  <c r="F226" i="3"/>
  <c r="J226" i="3" s="1"/>
  <c r="F227" i="3"/>
  <c r="J227" i="3" s="1"/>
  <c r="J228" i="3"/>
  <c r="K228" i="3"/>
  <c r="K229" i="3"/>
  <c r="J230" i="3"/>
  <c r="K230" i="3"/>
  <c r="F232" i="3"/>
  <c r="J232" i="3" s="1"/>
  <c r="K232" i="3"/>
  <c r="F233" i="3"/>
  <c r="J233" i="3" s="1"/>
  <c r="F234" i="3"/>
  <c r="J234" i="3" s="1"/>
  <c r="F235" i="3"/>
  <c r="J235" i="3" s="1"/>
  <c r="F236" i="3"/>
  <c r="J236" i="3" s="1"/>
  <c r="F237" i="3"/>
  <c r="J237" i="3" s="1"/>
  <c r="F238" i="3"/>
  <c r="J238" i="3" s="1"/>
  <c r="K239" i="3"/>
  <c r="M240" i="3"/>
  <c r="F241" i="3"/>
  <c r="J241" i="3" s="1"/>
  <c r="F242" i="3"/>
  <c r="J242" i="3" s="1"/>
  <c r="F243" i="3"/>
  <c r="J243" i="3" s="1"/>
  <c r="F244" i="3"/>
  <c r="J244" i="3" s="1"/>
  <c r="K244" i="3"/>
  <c r="F245" i="3"/>
  <c r="J245" i="3" s="1"/>
  <c r="F246" i="3"/>
  <c r="J246" i="3" s="1"/>
  <c r="F247" i="3"/>
  <c r="J247" i="3" s="1"/>
  <c r="F248" i="3"/>
  <c r="J248" i="3" s="1"/>
  <c r="F249" i="3"/>
  <c r="J249" i="3" s="1"/>
  <c r="K250" i="3"/>
  <c r="F252" i="3"/>
  <c r="J252" i="3" s="1"/>
  <c r="F253" i="3"/>
  <c r="J253" i="3" s="1"/>
  <c r="F254" i="3"/>
  <c r="J254" i="3" s="1"/>
  <c r="F255" i="3"/>
  <c r="J255" i="3" s="1"/>
  <c r="F256" i="3"/>
  <c r="J256" i="3" s="1"/>
  <c r="F257" i="3"/>
  <c r="J257" i="3" s="1"/>
  <c r="F258" i="3"/>
  <c r="J258" i="3" s="1"/>
  <c r="F259" i="3"/>
  <c r="J259" i="3" s="1"/>
  <c r="K260" i="3"/>
  <c r="J261" i="3"/>
  <c r="K261" i="3"/>
  <c r="J262" i="3"/>
  <c r="K262" i="3"/>
  <c r="F264" i="3"/>
  <c r="J264" i="3" s="1"/>
  <c r="F265" i="3"/>
  <c r="J265" i="3" s="1"/>
  <c r="F266" i="3"/>
  <c r="J266" i="3" s="1"/>
  <c r="F267" i="3"/>
  <c r="J267" i="3" s="1"/>
  <c r="F268" i="3"/>
  <c r="J268" i="3" s="1"/>
  <c r="F269" i="3"/>
  <c r="J269" i="3" s="1"/>
  <c r="J270" i="3"/>
  <c r="K270" i="3"/>
  <c r="J271" i="3"/>
  <c r="K271" i="3"/>
  <c r="J272" i="3"/>
  <c r="K272" i="3"/>
  <c r="F189" i="5"/>
  <c r="L189" i="5"/>
  <c r="F190" i="5"/>
  <c r="F191" i="5"/>
  <c r="F192" i="5"/>
  <c r="J193" i="5"/>
  <c r="K193" i="5"/>
  <c r="J194" i="5"/>
  <c r="K194" i="5"/>
  <c r="J195" i="5"/>
  <c r="K195" i="5"/>
  <c r="J196" i="5"/>
  <c r="K196" i="5"/>
  <c r="F197" i="5"/>
  <c r="F198" i="5"/>
  <c r="F199" i="5"/>
  <c r="K200" i="5"/>
  <c r="L201" i="5"/>
  <c r="F202" i="5"/>
  <c r="G202" i="5"/>
  <c r="J202" i="5"/>
  <c r="F203" i="5"/>
  <c r="J203" i="5" s="1"/>
  <c r="K203" i="5"/>
  <c r="F204" i="5"/>
  <c r="J204" i="5"/>
  <c r="K204" i="5"/>
  <c r="F205" i="5"/>
  <c r="F206" i="5"/>
  <c r="F207" i="5"/>
  <c r="J207" i="5" s="1"/>
  <c r="J208" i="5"/>
  <c r="K208" i="5"/>
  <c r="J209" i="5"/>
  <c r="K209" i="5"/>
  <c r="J210" i="5"/>
  <c r="K210" i="5"/>
  <c r="K211" i="5"/>
  <c r="L212" i="5"/>
  <c r="F213" i="5"/>
  <c r="J213" i="5" s="1"/>
  <c r="F214" i="5"/>
  <c r="J214" i="5" s="1"/>
  <c r="K214" i="5"/>
  <c r="F215" i="5"/>
  <c r="F216" i="5"/>
  <c r="F217" i="5"/>
  <c r="J217" i="5" s="1"/>
  <c r="K217" i="5"/>
  <c r="F218" i="5"/>
  <c r="J218" i="5"/>
  <c r="K218" i="5"/>
  <c r="F219" i="5"/>
  <c r="F220" i="5"/>
  <c r="F221" i="5"/>
  <c r="J221" i="5" s="1"/>
  <c r="F222" i="5"/>
  <c r="J222" i="5" s="1"/>
  <c r="K222" i="5"/>
  <c r="F223" i="5"/>
  <c r="J224" i="5"/>
  <c r="K224" i="5"/>
  <c r="J225" i="5"/>
  <c r="K225" i="5"/>
  <c r="J226" i="5"/>
  <c r="K226" i="5"/>
  <c r="J227" i="5"/>
  <c r="K227" i="5"/>
  <c r="J228" i="5"/>
  <c r="K228" i="5"/>
  <c r="J229" i="5"/>
  <c r="K229" i="5"/>
  <c r="L229" i="5"/>
  <c r="F230" i="5"/>
  <c r="J230" i="5"/>
  <c r="K230" i="5"/>
  <c r="L230" i="5"/>
  <c r="F231" i="5"/>
  <c r="J231" i="5"/>
  <c r="K231" i="5"/>
  <c r="L231" i="5"/>
  <c r="K232" i="5"/>
  <c r="L233" i="5"/>
  <c r="F234" i="5"/>
  <c r="J234" i="5"/>
  <c r="K234" i="5"/>
  <c r="L234" i="5"/>
  <c r="F235" i="5"/>
  <c r="J235" i="5"/>
  <c r="K235" i="5"/>
  <c r="L235" i="5"/>
  <c r="F236" i="5"/>
  <c r="J236" i="5"/>
  <c r="K236" i="5"/>
  <c r="L236" i="5"/>
  <c r="F237" i="5"/>
  <c r="J237" i="5"/>
  <c r="K237" i="5"/>
  <c r="L237" i="5"/>
  <c r="F238" i="5"/>
  <c r="J238" i="5"/>
  <c r="K238" i="5"/>
  <c r="L238" i="5"/>
  <c r="F239" i="5"/>
  <c r="J239" i="5"/>
  <c r="K239" i="5"/>
  <c r="L239" i="5"/>
  <c r="F240" i="5"/>
  <c r="J240" i="5"/>
  <c r="K240" i="5"/>
  <c r="L240" i="5"/>
  <c r="F241" i="5"/>
  <c r="J241" i="5"/>
  <c r="K241" i="5"/>
  <c r="L241" i="5"/>
  <c r="F242" i="5"/>
  <c r="J242" i="5"/>
  <c r="K242" i="5"/>
  <c r="L242" i="5"/>
  <c r="J243" i="5"/>
  <c r="K243" i="5"/>
  <c r="L243" i="5" s="1"/>
  <c r="J244" i="5"/>
  <c r="K244" i="5"/>
  <c r="L244" i="5" s="1"/>
  <c r="F245" i="5"/>
  <c r="J245" i="5"/>
  <c r="K245" i="5"/>
  <c r="J246" i="5"/>
  <c r="K246" i="5"/>
  <c r="J247" i="5"/>
  <c r="K247" i="5"/>
  <c r="L247" i="5"/>
  <c r="K248" i="5"/>
  <c r="L249" i="5"/>
  <c r="F250" i="5"/>
  <c r="J250" i="5" s="1"/>
  <c r="L250" i="5" s="1"/>
  <c r="K250" i="5"/>
  <c r="F251" i="5"/>
  <c r="J251" i="5" s="1"/>
  <c r="L251" i="5" s="1"/>
  <c r="K251" i="5"/>
  <c r="F252" i="5"/>
  <c r="J252" i="5" s="1"/>
  <c r="L252" i="5" s="1"/>
  <c r="K252" i="5"/>
  <c r="F253" i="5"/>
  <c r="J253" i="5" s="1"/>
  <c r="L253" i="5" s="1"/>
  <c r="K253" i="5"/>
  <c r="F254" i="5"/>
  <c r="J254" i="5" s="1"/>
  <c r="L254" i="5" s="1"/>
  <c r="K254" i="5"/>
  <c r="J255" i="5"/>
  <c r="K255" i="5"/>
  <c r="J256" i="5"/>
  <c r="K256" i="5"/>
  <c r="K257" i="5"/>
  <c r="L258" i="5"/>
  <c r="F259" i="5"/>
  <c r="J259" i="5" s="1"/>
  <c r="K259" i="5"/>
  <c r="F260" i="5"/>
  <c r="F261" i="5"/>
  <c r="J261" i="5" s="1"/>
  <c r="F262" i="5"/>
  <c r="J262" i="5" s="1"/>
  <c r="F263" i="5"/>
  <c r="J263" i="5" s="1"/>
  <c r="K263" i="5"/>
  <c r="F264" i="5"/>
  <c r="F265" i="5"/>
  <c r="J265" i="5" s="1"/>
  <c r="F266" i="5"/>
  <c r="J266" i="5" s="1"/>
  <c r="J267" i="5"/>
  <c r="K267" i="5"/>
  <c r="J268" i="5"/>
  <c r="K268" i="5"/>
  <c r="J269" i="5"/>
  <c r="K269" i="5"/>
  <c r="J270" i="5"/>
  <c r="K270" i="5"/>
  <c r="J271" i="5"/>
  <c r="K271" i="5"/>
  <c r="F272" i="5"/>
  <c r="J272" i="5" s="1"/>
  <c r="K273" i="5"/>
  <c r="L274" i="5"/>
  <c r="F275" i="5"/>
  <c r="J275" i="5" s="1"/>
  <c r="K275" i="5"/>
  <c r="F276" i="5"/>
  <c r="F277" i="5"/>
  <c r="J277" i="5" s="1"/>
  <c r="J278" i="5"/>
  <c r="K278" i="5"/>
  <c r="K279" i="5"/>
  <c r="L280" i="5"/>
  <c r="F281" i="5"/>
  <c r="J281" i="5" s="1"/>
  <c r="F282" i="5"/>
  <c r="J282" i="5" s="1"/>
  <c r="F283" i="5"/>
  <c r="J283" i="5" s="1"/>
  <c r="F284" i="5"/>
  <c r="J284" i="5" s="1"/>
  <c r="F285" i="5"/>
  <c r="J285" i="5" s="1"/>
  <c r="F286" i="5"/>
  <c r="J286" i="5" s="1"/>
  <c r="F287" i="5"/>
  <c r="J287" i="5" s="1"/>
  <c r="F288" i="5"/>
  <c r="J288" i="5" s="1"/>
  <c r="F289" i="5"/>
  <c r="J289" i="5" s="1"/>
  <c r="F290" i="5"/>
  <c r="J290" i="5" s="1"/>
  <c r="J291" i="5"/>
  <c r="K291" i="5"/>
  <c r="F292" i="5"/>
  <c r="J292" i="5" s="1"/>
  <c r="J293" i="5"/>
  <c r="K293" i="5"/>
  <c r="J294" i="5"/>
  <c r="K294" i="5"/>
  <c r="F295" i="5"/>
  <c r="G295" i="5"/>
  <c r="K295" i="5"/>
  <c r="K296" i="5"/>
  <c r="L297" i="5"/>
  <c r="F298" i="5"/>
  <c r="J298" i="5"/>
  <c r="K298" i="5"/>
  <c r="F299" i="5"/>
  <c r="F300" i="5"/>
  <c r="F301" i="5"/>
  <c r="J301" i="5" s="1"/>
  <c r="F302" i="5"/>
  <c r="J302" i="5" s="1"/>
  <c r="K302" i="5"/>
  <c r="F303" i="5"/>
  <c r="J304" i="5"/>
  <c r="K304" i="5"/>
  <c r="J305" i="5"/>
  <c r="K305" i="5"/>
  <c r="F306" i="5"/>
  <c r="F307" i="5"/>
  <c r="K308" i="5"/>
  <c r="L309" i="5"/>
  <c r="F310" i="5"/>
  <c r="J311" i="5"/>
  <c r="K311" i="5"/>
  <c r="F312" i="5"/>
  <c r="J312" i="5" s="1"/>
  <c r="J313" i="5"/>
  <c r="K313" i="5"/>
  <c r="F314" i="5"/>
  <c r="J314" i="5" s="1"/>
  <c r="F315" i="5"/>
  <c r="J315" i="5" s="1"/>
  <c r="F316" i="5"/>
  <c r="J316" i="5" s="1"/>
  <c r="F317" i="5"/>
  <c r="J317" i="5" s="1"/>
  <c r="F318" i="5"/>
  <c r="J318" i="5" s="1"/>
  <c r="F319" i="5"/>
  <c r="J319" i="5" s="1"/>
  <c r="F320" i="5"/>
  <c r="J320" i="5" s="1"/>
  <c r="F321" i="5"/>
  <c r="J321" i="5" s="1"/>
  <c r="F322" i="5"/>
  <c r="J322" i="5" s="1"/>
  <c r="F323" i="5"/>
  <c r="J323" i="5" s="1"/>
  <c r="F324" i="5"/>
  <c r="J324" i="5" s="1"/>
  <c r="J340" i="5"/>
  <c r="K340" i="5"/>
  <c r="L341" i="5"/>
  <c r="K343" i="5"/>
  <c r="L343" i="5" s="1"/>
  <c r="F344" i="5"/>
  <c r="J344" i="5" s="1"/>
  <c r="F345" i="5"/>
  <c r="J345" i="5" s="1"/>
  <c r="K345" i="5"/>
  <c r="F346" i="5"/>
  <c r="J346" i="5" s="1"/>
  <c r="K346" i="5"/>
  <c r="F347" i="5"/>
  <c r="J347" i="5" s="1"/>
  <c r="K347" i="5"/>
  <c r="F348" i="5"/>
  <c r="J348" i="5"/>
  <c r="K348" i="5"/>
  <c r="F349" i="5"/>
  <c r="F350" i="5"/>
  <c r="J350" i="5" s="1"/>
  <c r="K350" i="5"/>
  <c r="F351" i="5"/>
  <c r="J351" i="5" s="1"/>
  <c r="K351" i="5"/>
  <c r="F352" i="5"/>
  <c r="J352" i="5"/>
  <c r="K352" i="5"/>
  <c r="J353" i="5"/>
  <c r="K353" i="5"/>
  <c r="J354" i="5"/>
  <c r="K354" i="5"/>
  <c r="L354" i="5"/>
  <c r="F355" i="5"/>
  <c r="J355" i="5"/>
  <c r="K355" i="5"/>
  <c r="L355" i="5"/>
  <c r="F356" i="5"/>
  <c r="J356" i="5"/>
  <c r="K356" i="5"/>
  <c r="L356" i="5"/>
  <c r="F357" i="5"/>
  <c r="J357" i="5"/>
  <c r="K357" i="5"/>
  <c r="L357" i="5"/>
  <c r="J358" i="5"/>
  <c r="K358" i="5"/>
  <c r="L358" i="5" s="1"/>
  <c r="F359" i="5"/>
  <c r="J359" i="5"/>
  <c r="K359" i="5"/>
  <c r="J360" i="5"/>
  <c r="K360" i="5"/>
  <c r="L360" i="5"/>
  <c r="J361" i="5"/>
  <c r="K361" i="5"/>
  <c r="L361" i="5" s="1"/>
  <c r="J362" i="5"/>
  <c r="K362" i="5"/>
  <c r="L362" i="5" s="1"/>
  <c r="J363" i="5"/>
  <c r="K363" i="5"/>
  <c r="L364" i="5"/>
  <c r="K365" i="5"/>
  <c r="K366" i="5"/>
  <c r="L366" i="5" s="1"/>
  <c r="F367" i="5"/>
  <c r="F368" i="5"/>
  <c r="J368" i="5" s="1"/>
  <c r="K368" i="5"/>
  <c r="F369" i="5"/>
  <c r="J369" i="5" s="1"/>
  <c r="K369" i="5"/>
  <c r="F370" i="5"/>
  <c r="J370" i="5"/>
  <c r="K370" i="5"/>
  <c r="F371" i="5"/>
  <c r="J372" i="5"/>
  <c r="K372" i="5"/>
  <c r="F373" i="5"/>
  <c r="F374" i="5"/>
  <c r="J375" i="5"/>
  <c r="K375" i="5"/>
  <c r="J376" i="5"/>
  <c r="K376" i="5"/>
  <c r="L377" i="5"/>
  <c r="F378" i="5"/>
  <c r="G378" i="5"/>
  <c r="F379" i="5"/>
  <c r="G379" i="5"/>
  <c r="K379" i="5"/>
  <c r="F380" i="5"/>
  <c r="G380" i="5"/>
  <c r="F381" i="5"/>
  <c r="G381" i="5"/>
  <c r="J381" i="5" s="1"/>
  <c r="F382" i="5"/>
  <c r="F383" i="5"/>
  <c r="J383" i="5" s="1"/>
  <c r="K383" i="5"/>
  <c r="F384" i="5"/>
  <c r="J385" i="5"/>
  <c r="K385" i="5"/>
  <c r="F386" i="5"/>
  <c r="F387" i="5"/>
  <c r="F388" i="5"/>
  <c r="F389" i="5"/>
  <c r="F390" i="5"/>
  <c r="J391" i="5"/>
  <c r="K391" i="5"/>
  <c r="J392" i="5"/>
  <c r="K392" i="5"/>
  <c r="J393" i="5"/>
  <c r="K393" i="5"/>
  <c r="K394" i="5"/>
  <c r="K395" i="5"/>
  <c r="L395" i="5" s="1"/>
  <c r="F396" i="5"/>
  <c r="J396" i="5" s="1"/>
  <c r="K396" i="5"/>
  <c r="F397" i="5"/>
  <c r="J397" i="5" s="1"/>
  <c r="K397" i="5"/>
  <c r="F398" i="5"/>
  <c r="J398" i="5" s="1"/>
  <c r="K398" i="5"/>
  <c r="F399" i="5"/>
  <c r="J399" i="5" s="1"/>
  <c r="K399" i="5"/>
  <c r="F400" i="5"/>
  <c r="J400" i="5" s="1"/>
  <c r="K400" i="5"/>
  <c r="F401" i="5"/>
  <c r="J401" i="5" s="1"/>
  <c r="K401" i="5"/>
  <c r="F402" i="5"/>
  <c r="J402" i="5" s="1"/>
  <c r="K402" i="5"/>
  <c r="F403" i="5"/>
  <c r="J403" i="5" s="1"/>
  <c r="K403" i="5"/>
  <c r="F404" i="5"/>
  <c r="J404" i="5" s="1"/>
  <c r="K404" i="5"/>
  <c r="F405" i="5"/>
  <c r="J405" i="5" s="1"/>
  <c r="K405" i="5"/>
  <c r="F406" i="5"/>
  <c r="J406" i="5" s="1"/>
  <c r="K406" i="5"/>
  <c r="F407" i="5"/>
  <c r="J407" i="5" s="1"/>
  <c r="K407" i="5"/>
  <c r="J408" i="5"/>
  <c r="K408" i="5"/>
  <c r="J409" i="5"/>
  <c r="K409" i="5"/>
  <c r="J410" i="5"/>
  <c r="K410" i="5"/>
  <c r="K411" i="5"/>
  <c r="K412" i="5"/>
  <c r="L412" i="5" s="1"/>
  <c r="F413" i="5"/>
  <c r="F414" i="5"/>
  <c r="F415" i="5"/>
  <c r="F416" i="5"/>
  <c r="F417" i="5"/>
  <c r="F418" i="5"/>
  <c r="F419" i="5"/>
  <c r="F420" i="5"/>
  <c r="F421" i="5"/>
  <c r="F422" i="5"/>
  <c r="F423" i="5"/>
  <c r="F424" i="5"/>
  <c r="F425" i="5"/>
  <c r="F426" i="5"/>
  <c r="F427" i="5"/>
  <c r="J427" i="5" s="1"/>
  <c r="K427" i="5"/>
  <c r="J428" i="5"/>
  <c r="K428" i="5"/>
  <c r="F429" i="5"/>
  <c r="J429" i="5"/>
  <c r="K429" i="5"/>
  <c r="J430" i="5"/>
  <c r="K430" i="5"/>
  <c r="L430" i="5"/>
  <c r="J431" i="5"/>
  <c r="K431" i="5"/>
  <c r="L431" i="5" s="1"/>
  <c r="F432" i="5"/>
  <c r="J432" i="5"/>
  <c r="K432" i="5"/>
  <c r="F433" i="5"/>
  <c r="K434" i="5"/>
  <c r="K435" i="5"/>
  <c r="L435" i="5" s="1"/>
  <c r="F436" i="5"/>
  <c r="F437" i="5"/>
  <c r="J437" i="5" s="1"/>
  <c r="F438" i="5"/>
  <c r="J438" i="5" s="1"/>
  <c r="K438" i="5"/>
  <c r="F439" i="5"/>
  <c r="F440" i="5"/>
  <c r="F441" i="5"/>
  <c r="J441" i="5" s="1"/>
  <c r="K441" i="5"/>
  <c r="F442" i="5"/>
  <c r="J442" i="5"/>
  <c r="K442" i="5"/>
  <c r="J443" i="5"/>
  <c r="K443" i="5"/>
  <c r="K444" i="5"/>
  <c r="K445" i="5"/>
  <c r="L445" i="5" s="1"/>
  <c r="F446" i="5"/>
  <c r="F447" i="5"/>
  <c r="F448" i="5"/>
  <c r="J448" i="5" s="1"/>
  <c r="F449" i="5"/>
  <c r="J449" i="5" s="1"/>
  <c r="K449" i="5"/>
  <c r="F450" i="5"/>
  <c r="F451" i="5"/>
  <c r="J451" i="5" s="1"/>
  <c r="F452" i="5"/>
  <c r="J452" i="5" s="1"/>
  <c r="K452" i="5"/>
  <c r="F453" i="5"/>
  <c r="J453" i="5"/>
  <c r="K453" i="5"/>
  <c r="J454" i="5"/>
  <c r="K454" i="5"/>
  <c r="J455" i="5"/>
  <c r="K455" i="5"/>
  <c r="K456" i="5"/>
  <c r="K457" i="5"/>
  <c r="L457" i="5" s="1"/>
  <c r="F458" i="5"/>
  <c r="F459" i="5"/>
  <c r="J459" i="5" s="1"/>
  <c r="F460" i="5"/>
  <c r="J460" i="5" s="1"/>
  <c r="F461" i="5"/>
  <c r="J461" i="5" s="1"/>
  <c r="F462" i="5"/>
  <c r="J462" i="5" s="1"/>
  <c r="F463" i="5"/>
  <c r="J463" i="5" s="1"/>
  <c r="F464" i="5"/>
  <c r="J464" i="5" s="1"/>
  <c r="F465" i="5"/>
  <c r="J465" i="5" s="1"/>
  <c r="F466" i="5"/>
  <c r="J466" i="5" s="1"/>
  <c r="F467" i="5"/>
  <c r="J467" i="5" s="1"/>
  <c r="F468" i="5"/>
  <c r="J468" i="5" s="1"/>
  <c r="F469" i="5"/>
  <c r="J469" i="5" s="1"/>
  <c r="J470" i="5"/>
  <c r="K470" i="5"/>
  <c r="K514" i="5"/>
  <c r="L515" i="5"/>
  <c r="F516" i="5"/>
  <c r="J516" i="5" s="1"/>
  <c r="F517" i="5"/>
  <c r="J517" i="5" s="1"/>
  <c r="K517" i="5"/>
  <c r="F518" i="5"/>
  <c r="J518" i="5"/>
  <c r="K518" i="5"/>
  <c r="F519" i="5"/>
  <c r="F520" i="5"/>
  <c r="J520" i="5" s="1"/>
  <c r="F521" i="5"/>
  <c r="J521" i="5" s="1"/>
  <c r="F522" i="5"/>
  <c r="J522" i="5" s="1"/>
  <c r="K522" i="5"/>
  <c r="J523" i="5"/>
  <c r="K523" i="5"/>
  <c r="L523" i="5" s="1"/>
  <c r="K524" i="5"/>
  <c r="L525" i="5"/>
  <c r="F526" i="5"/>
  <c r="J526" i="5" s="1"/>
  <c r="L526" i="5" s="1"/>
  <c r="K526" i="5"/>
  <c r="F527" i="5"/>
  <c r="J527" i="5" s="1"/>
  <c r="L527" i="5" s="1"/>
  <c r="K527" i="5"/>
  <c r="F528" i="5"/>
  <c r="J528" i="5" s="1"/>
  <c r="L528" i="5" s="1"/>
  <c r="K528" i="5"/>
  <c r="F529" i="5"/>
  <c r="J529" i="5" s="1"/>
  <c r="L529" i="5" s="1"/>
  <c r="K529" i="5"/>
  <c r="F530" i="5"/>
  <c r="J530" i="5" s="1"/>
  <c r="L530" i="5" s="1"/>
  <c r="K530" i="5"/>
  <c r="F531" i="5"/>
  <c r="J531" i="5" s="1"/>
  <c r="L531" i="5" s="1"/>
  <c r="K531" i="5"/>
  <c r="F532" i="5"/>
  <c r="J532" i="5" s="1"/>
  <c r="L532" i="5" s="1"/>
  <c r="K532" i="5"/>
  <c r="J533" i="5"/>
  <c r="K533" i="5"/>
  <c r="F534" i="5"/>
  <c r="J534" i="5" s="1"/>
  <c r="K534" i="5"/>
  <c r="J535" i="5"/>
  <c r="K535" i="5"/>
  <c r="L535" i="5" s="1"/>
  <c r="K536" i="5"/>
  <c r="L537" i="5"/>
  <c r="F538" i="5"/>
  <c r="J538" i="5" s="1"/>
  <c r="L538" i="5" s="1"/>
  <c r="K538" i="5"/>
  <c r="F539" i="5"/>
  <c r="J539" i="5" s="1"/>
  <c r="L539" i="5" s="1"/>
  <c r="K539" i="5"/>
  <c r="F540" i="5"/>
  <c r="J540" i="5" s="1"/>
  <c r="L540" i="5" s="1"/>
  <c r="K540" i="5"/>
  <c r="F541" i="5"/>
  <c r="J541" i="5" s="1"/>
  <c r="L541" i="5" s="1"/>
  <c r="K541" i="5"/>
  <c r="F542" i="5"/>
  <c r="J542" i="5" s="1"/>
  <c r="L542" i="5" s="1"/>
  <c r="K542" i="5"/>
  <c r="F543" i="5"/>
  <c r="J543" i="5" s="1"/>
  <c r="L543" i="5" s="1"/>
  <c r="K543" i="5"/>
  <c r="F544" i="5"/>
  <c r="J544" i="5" s="1"/>
  <c r="L544" i="5" s="1"/>
  <c r="K544" i="5"/>
  <c r="F545" i="5"/>
  <c r="J545" i="5" s="1"/>
  <c r="L545" i="5" s="1"/>
  <c r="K545" i="5"/>
  <c r="J546" i="5"/>
  <c r="K546" i="5"/>
  <c r="J547" i="5"/>
  <c r="K547" i="5"/>
  <c r="J548" i="5"/>
  <c r="K548" i="5"/>
  <c r="J549" i="5"/>
  <c r="K549" i="5"/>
  <c r="J550" i="5"/>
  <c r="K550" i="5"/>
  <c r="F551" i="5"/>
  <c r="J551" i="5" s="1"/>
  <c r="J552" i="5"/>
  <c r="K552" i="5"/>
  <c r="J553" i="5"/>
  <c r="K553" i="5"/>
  <c r="F554" i="5"/>
  <c r="J554" i="5" s="1"/>
  <c r="K555" i="5"/>
  <c r="L556" i="5"/>
  <c r="F557" i="5"/>
  <c r="J557" i="5" s="1"/>
  <c r="K557" i="5"/>
  <c r="F558" i="5"/>
  <c r="F559" i="5"/>
  <c r="J559" i="5" s="1"/>
  <c r="F560" i="5"/>
  <c r="J560" i="5" s="1"/>
  <c r="K560" i="5"/>
  <c r="F561" i="5"/>
  <c r="J561" i="5"/>
  <c r="K561" i="5"/>
  <c r="F562" i="5"/>
  <c r="F563" i="5"/>
  <c r="J563" i="5" s="1"/>
  <c r="F564" i="5"/>
  <c r="J564" i="5" s="1"/>
  <c r="F565" i="5"/>
  <c r="J565" i="5" s="1"/>
  <c r="K565" i="5"/>
  <c r="J566" i="5"/>
  <c r="K566" i="5"/>
  <c r="F567" i="5"/>
  <c r="F568" i="5"/>
  <c r="G568" i="5"/>
  <c r="K568" i="5"/>
  <c r="J569" i="5"/>
  <c r="K569" i="5"/>
  <c r="L569" i="5" s="1"/>
  <c r="J570" i="5"/>
  <c r="K570" i="5"/>
  <c r="F571" i="5"/>
  <c r="J571" i="5" s="1"/>
  <c r="K571" i="5"/>
  <c r="F572" i="5"/>
  <c r="J572" i="5"/>
  <c r="K572" i="5"/>
  <c r="J573" i="5"/>
  <c r="K573" i="5"/>
  <c r="J574" i="5"/>
  <c r="K574" i="5"/>
  <c r="J575" i="5"/>
  <c r="K575" i="5"/>
  <c r="L575" i="5"/>
  <c r="J576" i="5"/>
  <c r="K576" i="5"/>
  <c r="L576" i="5" s="1"/>
  <c r="J577" i="5"/>
  <c r="K577" i="5"/>
  <c r="L577" i="5" s="1"/>
  <c r="F578" i="5"/>
  <c r="J578" i="5"/>
  <c r="K578" i="5"/>
  <c r="K592" i="5"/>
  <c r="L593" i="5"/>
  <c r="F594" i="5"/>
  <c r="F595" i="5"/>
  <c r="J595" i="5" s="1"/>
  <c r="K595" i="5"/>
  <c r="F596" i="5"/>
  <c r="J596" i="5" s="1"/>
  <c r="K596" i="5"/>
  <c r="F597" i="5"/>
  <c r="J597" i="5"/>
  <c r="K597" i="5"/>
  <c r="F598" i="5"/>
  <c r="F599" i="5"/>
  <c r="J599" i="5" s="1"/>
  <c r="K599" i="5"/>
  <c r="F600" i="5"/>
  <c r="J600" i="5" s="1"/>
  <c r="K600" i="5"/>
  <c r="J601" i="5"/>
  <c r="K601" i="5"/>
  <c r="F602" i="5"/>
  <c r="J602" i="5"/>
  <c r="K602" i="5"/>
  <c r="F603" i="5"/>
  <c r="K603" i="5" s="1"/>
  <c r="G603" i="5"/>
  <c r="J603" i="5"/>
  <c r="J604" i="5"/>
  <c r="K604" i="5"/>
  <c r="F605" i="5"/>
  <c r="J605" i="5" s="1"/>
  <c r="K605" i="5"/>
  <c r="J606" i="5"/>
  <c r="K606" i="5"/>
  <c r="L606" i="5" s="1"/>
  <c r="J607" i="5"/>
  <c r="K607" i="5"/>
  <c r="J608" i="5"/>
  <c r="K608" i="5"/>
  <c r="L608" i="5" s="1"/>
  <c r="K609" i="5"/>
  <c r="K610" i="5"/>
  <c r="L610" i="5" s="1"/>
  <c r="F611" i="5"/>
  <c r="J611" i="5" s="1"/>
  <c r="K611" i="5"/>
  <c r="F612" i="5"/>
  <c r="J612" i="5"/>
  <c r="K612" i="5"/>
  <c r="F613" i="5"/>
  <c r="J614" i="5"/>
  <c r="K614" i="5"/>
  <c r="L615" i="5"/>
  <c r="K616" i="5"/>
  <c r="K617" i="5"/>
  <c r="L617" i="5" s="1"/>
  <c r="F618" i="5"/>
  <c r="F619" i="5"/>
  <c r="F620" i="5"/>
  <c r="F621" i="5"/>
  <c r="F622" i="5"/>
  <c r="F623" i="5"/>
  <c r="F624" i="5"/>
  <c r="F625" i="5"/>
  <c r="F626" i="5"/>
  <c r="F627" i="5"/>
  <c r="F628" i="5"/>
  <c r="F629" i="5"/>
  <c r="J630" i="5"/>
  <c r="K630" i="5"/>
  <c r="K667" i="5"/>
  <c r="L668" i="5"/>
  <c r="F669" i="5"/>
  <c r="F670" i="5"/>
  <c r="J670" i="5" s="1"/>
  <c r="F671" i="5"/>
  <c r="F672" i="5"/>
  <c r="J672" i="5" s="1"/>
  <c r="F673" i="5"/>
  <c r="J673" i="5" s="1"/>
  <c r="K673" i="5"/>
  <c r="F674" i="5"/>
  <c r="J674" i="5"/>
  <c r="K674" i="5"/>
  <c r="F675" i="5"/>
  <c r="F676" i="5"/>
  <c r="J676" i="5" s="1"/>
  <c r="F677" i="5"/>
  <c r="J677" i="5" s="1"/>
  <c r="J678" i="5"/>
  <c r="K678" i="5"/>
  <c r="L679" i="5"/>
  <c r="K680" i="5"/>
  <c r="K681" i="5"/>
  <c r="L681" i="5" s="1"/>
  <c r="F682" i="5"/>
  <c r="F683" i="5"/>
  <c r="F684" i="5"/>
  <c r="F685" i="5"/>
  <c r="F686" i="5"/>
  <c r="F687" i="5"/>
  <c r="F688" i="5"/>
  <c r="F689" i="5"/>
  <c r="K690" i="5"/>
  <c r="L691" i="5"/>
  <c r="F692" i="5"/>
  <c r="J692" i="5" s="1"/>
  <c r="K692" i="5"/>
  <c r="F693" i="5"/>
  <c r="J693" i="5" s="1"/>
  <c r="K693" i="5"/>
  <c r="F694" i="5"/>
  <c r="J694" i="5" s="1"/>
  <c r="K694" i="5"/>
  <c r="F695" i="5"/>
  <c r="J695" i="5" s="1"/>
  <c r="K695" i="5"/>
  <c r="F696" i="5"/>
  <c r="J696" i="5" s="1"/>
  <c r="K696" i="5"/>
  <c r="F697" i="5"/>
  <c r="J697" i="5" s="1"/>
  <c r="K697" i="5"/>
  <c r="K698" i="5"/>
  <c r="L699" i="5"/>
  <c r="F700" i="5"/>
  <c r="J700" i="5" s="1"/>
  <c r="K700" i="5"/>
  <c r="F701" i="5"/>
  <c r="J701" i="5" s="1"/>
  <c r="K701" i="5"/>
  <c r="F702" i="5"/>
  <c r="J702" i="5" s="1"/>
  <c r="K702" i="5"/>
  <c r="F703" i="5"/>
  <c r="J703" i="5" s="1"/>
  <c r="K703" i="5"/>
  <c r="F704" i="5"/>
  <c r="J704" i="5" s="1"/>
  <c r="K704" i="5"/>
  <c r="J705" i="5"/>
  <c r="K705" i="5"/>
  <c r="F706" i="5"/>
  <c r="J706" i="5" s="1"/>
  <c r="K706" i="5"/>
  <c r="J707" i="5"/>
  <c r="K707" i="5"/>
  <c r="L707" i="5" s="1"/>
  <c r="J708" i="5"/>
  <c r="K708" i="5"/>
  <c r="J709" i="5"/>
  <c r="K709" i="5"/>
  <c r="F710" i="5"/>
  <c r="J710" i="5" s="1"/>
  <c r="K710" i="5"/>
  <c r="L710" i="5" s="1"/>
  <c r="F711" i="5"/>
  <c r="J711" i="5"/>
  <c r="K711" i="5"/>
  <c r="F712" i="5"/>
  <c r="J712" i="5" s="1"/>
  <c r="F713" i="5"/>
  <c r="J713" i="5"/>
  <c r="K713" i="5"/>
  <c r="F714" i="5"/>
  <c r="J715" i="5"/>
  <c r="K715" i="5"/>
  <c r="J716" i="5"/>
  <c r="K716" i="5"/>
  <c r="J717" i="5"/>
  <c r="K717" i="5"/>
  <c r="F718" i="5"/>
  <c r="F719" i="5"/>
  <c r="J719" i="5" s="1"/>
  <c r="J720" i="5"/>
  <c r="K720" i="5"/>
  <c r="J721" i="5"/>
  <c r="K721" i="5"/>
  <c r="J722" i="5"/>
  <c r="K722" i="5"/>
  <c r="F723" i="5"/>
  <c r="L723" i="5"/>
  <c r="K724" i="5"/>
  <c r="K725" i="5"/>
  <c r="L725" i="5" s="1"/>
  <c r="F726" i="5"/>
  <c r="J726" i="5" s="1"/>
  <c r="F727" i="5"/>
  <c r="J727" i="5" s="1"/>
  <c r="F728" i="5"/>
  <c r="J728" i="5" s="1"/>
  <c r="F729" i="5"/>
  <c r="J729" i="5" s="1"/>
  <c r="F730" i="5"/>
  <c r="J730" i="5" s="1"/>
  <c r="K730" i="5"/>
  <c r="F731" i="5"/>
  <c r="J731" i="5" s="1"/>
  <c r="F732" i="5"/>
  <c r="J732" i="5" s="1"/>
  <c r="K732" i="5"/>
  <c r="J733" i="5"/>
  <c r="K733" i="5"/>
  <c r="L733" i="5" s="1"/>
  <c r="J734" i="5"/>
  <c r="K734" i="5"/>
  <c r="F735" i="5"/>
  <c r="J735" i="5" s="1"/>
  <c r="K735" i="5"/>
  <c r="F736" i="5"/>
  <c r="F737" i="5"/>
  <c r="J737" i="5" s="1"/>
  <c r="J738" i="5"/>
  <c r="K738" i="5"/>
  <c r="L738" i="5" s="1"/>
  <c r="J739" i="5"/>
  <c r="K739" i="5"/>
  <c r="J740" i="5"/>
  <c r="K740" i="5"/>
  <c r="J741" i="5"/>
  <c r="K741" i="5"/>
  <c r="J742" i="5"/>
  <c r="K742" i="5"/>
  <c r="J743" i="5"/>
  <c r="K743" i="5"/>
  <c r="K744" i="5"/>
  <c r="L745" i="5"/>
  <c r="F746" i="5"/>
  <c r="F747" i="5"/>
  <c r="J747" i="5" s="1"/>
  <c r="F748" i="5"/>
  <c r="J748" i="5" s="1"/>
  <c r="F749" i="5"/>
  <c r="J749" i="5" s="1"/>
  <c r="K749" i="5"/>
  <c r="F750" i="5"/>
  <c r="F751" i="5"/>
  <c r="J751" i="5" s="1"/>
  <c r="F752" i="5"/>
  <c r="J752" i="5" s="1"/>
  <c r="F753" i="5"/>
  <c r="J753" i="5" s="1"/>
  <c r="K753" i="5"/>
  <c r="J754" i="5"/>
  <c r="K754" i="5"/>
  <c r="J755" i="5"/>
  <c r="K755" i="5"/>
  <c r="J756" i="5"/>
  <c r="K756" i="5"/>
  <c r="L756" i="5" s="1"/>
  <c r="K757" i="5"/>
  <c r="L758" i="5"/>
  <c r="F759" i="5"/>
  <c r="J759" i="5" s="1"/>
  <c r="L759" i="5" s="1"/>
  <c r="K759" i="5"/>
  <c r="F760" i="5"/>
  <c r="J760" i="5" s="1"/>
  <c r="L760" i="5" s="1"/>
  <c r="K760" i="5"/>
  <c r="F761" i="5"/>
  <c r="J761" i="5" s="1"/>
  <c r="L761" i="5" s="1"/>
  <c r="K761" i="5"/>
  <c r="F762" i="5"/>
  <c r="J762" i="5" s="1"/>
  <c r="L762" i="5" s="1"/>
  <c r="K762" i="5"/>
  <c r="K763" i="5"/>
  <c r="L764" i="5"/>
  <c r="F765" i="5"/>
  <c r="J765" i="5" s="1"/>
  <c r="L765" i="5" s="1"/>
  <c r="K765" i="5"/>
  <c r="F766" i="5"/>
  <c r="J766" i="5" s="1"/>
  <c r="L766" i="5" s="1"/>
  <c r="K766" i="5"/>
  <c r="F767" i="5"/>
  <c r="J767" i="5" s="1"/>
  <c r="L767" i="5" s="1"/>
  <c r="K767" i="5"/>
  <c r="F768" i="5"/>
  <c r="J768" i="5" s="1"/>
  <c r="L768" i="5" s="1"/>
  <c r="K768" i="5"/>
  <c r="F769" i="5"/>
  <c r="J769" i="5" s="1"/>
  <c r="L769" i="5" s="1"/>
  <c r="K769" i="5"/>
  <c r="F770" i="5"/>
  <c r="J770" i="5" s="1"/>
  <c r="L770" i="5" s="1"/>
  <c r="K770" i="5"/>
  <c r="F771" i="5"/>
  <c r="J771" i="5" s="1"/>
  <c r="L771" i="5" s="1"/>
  <c r="K771" i="5"/>
  <c r="J772" i="5"/>
  <c r="K772" i="5"/>
  <c r="J773" i="5"/>
  <c r="K773" i="5"/>
  <c r="F774" i="5"/>
  <c r="J774" i="5" s="1"/>
  <c r="K774" i="5"/>
  <c r="K775" i="5"/>
  <c r="L776" i="5"/>
  <c r="F777" i="5"/>
  <c r="F778" i="5"/>
  <c r="J778" i="5" s="1"/>
  <c r="F779" i="5"/>
  <c r="J779" i="5" s="1"/>
  <c r="F780" i="5"/>
  <c r="J780" i="5" s="1"/>
  <c r="K780" i="5"/>
  <c r="F781" i="5"/>
  <c r="K782" i="5"/>
  <c r="L783" i="5"/>
  <c r="F784" i="5"/>
  <c r="J784" i="5" s="1"/>
  <c r="F785" i="5"/>
  <c r="J785" i="5" s="1"/>
  <c r="F786" i="5"/>
  <c r="J786" i="5" s="1"/>
  <c r="K786" i="5"/>
  <c r="F787" i="5"/>
  <c r="F788" i="5"/>
  <c r="J788" i="5" s="1"/>
  <c r="F789" i="5"/>
  <c r="J789" i="5" s="1"/>
  <c r="K790" i="5"/>
  <c r="L791" i="5"/>
  <c r="F792" i="5"/>
  <c r="J792" i="5" s="1"/>
  <c r="K792" i="5"/>
  <c r="F793" i="5"/>
  <c r="F794" i="5"/>
  <c r="J794" i="5" s="1"/>
  <c r="J795" i="5"/>
  <c r="K795" i="5"/>
  <c r="K796" i="5"/>
  <c r="L797" i="5"/>
  <c r="F798" i="5"/>
  <c r="J798" i="5" s="1"/>
  <c r="F799" i="5"/>
  <c r="J799" i="5" s="1"/>
  <c r="K799" i="5"/>
  <c r="F800" i="5"/>
  <c r="F801" i="5"/>
  <c r="J801" i="5" s="1"/>
  <c r="F802" i="5"/>
  <c r="J802" i="5" s="1"/>
  <c r="F803" i="5"/>
  <c r="J803" i="5" s="1"/>
  <c r="L803" i="5" s="1"/>
  <c r="K803" i="5"/>
  <c r="F804" i="5"/>
  <c r="J804" i="5"/>
  <c r="K804" i="5"/>
  <c r="L804" i="5"/>
  <c r="F805" i="5"/>
  <c r="J805" i="5"/>
  <c r="L805" i="5" s="1"/>
  <c r="K805" i="5"/>
  <c r="F806" i="5"/>
  <c r="J806" i="5" s="1"/>
  <c r="L806" i="5" s="1"/>
  <c r="K806" i="5"/>
  <c r="F807" i="5"/>
  <c r="J807" i="5"/>
  <c r="L807" i="5" s="1"/>
  <c r="K807" i="5"/>
  <c r="F808" i="5"/>
  <c r="J808" i="5" s="1"/>
  <c r="L808" i="5" s="1"/>
  <c r="K808" i="5"/>
  <c r="F809" i="5"/>
  <c r="J809" i="5"/>
  <c r="L809" i="5" s="1"/>
  <c r="K809" i="5"/>
  <c r="F810" i="5"/>
  <c r="J810" i="5" s="1"/>
  <c r="L810" i="5" s="1"/>
  <c r="K810" i="5"/>
  <c r="F811" i="5"/>
  <c r="J811" i="5" s="1"/>
  <c r="L811" i="5" s="1"/>
  <c r="K811" i="5"/>
  <c r="F812" i="5"/>
  <c r="J812" i="5"/>
  <c r="L812" i="5" s="1"/>
  <c r="K812" i="5"/>
  <c r="K813" i="5"/>
  <c r="L814" i="5"/>
  <c r="F815" i="5"/>
  <c r="J815" i="5" s="1"/>
  <c r="L815" i="5" s="1"/>
  <c r="K815" i="5"/>
  <c r="F816" i="5"/>
  <c r="J816" i="5"/>
  <c r="K816" i="5"/>
  <c r="F817" i="5"/>
  <c r="F818" i="5"/>
  <c r="J818" i="5" s="1"/>
  <c r="K818" i="5"/>
  <c r="F819" i="5"/>
  <c r="J819" i="5" s="1"/>
  <c r="K819" i="5"/>
  <c r="F820" i="5"/>
  <c r="J820" i="5"/>
  <c r="K820" i="5"/>
  <c r="J821" i="5"/>
  <c r="L821" i="5" s="1"/>
  <c r="K821" i="5"/>
  <c r="J822" i="5"/>
  <c r="K822" i="5"/>
  <c r="K823" i="5"/>
  <c r="F824" i="5"/>
  <c r="L824" i="5"/>
  <c r="F825" i="5"/>
  <c r="F826" i="5"/>
  <c r="J826" i="5" s="1"/>
  <c r="F827" i="5"/>
  <c r="J827" i="5" s="1"/>
  <c r="F828" i="5"/>
  <c r="J828" i="5" s="1"/>
  <c r="K828" i="5"/>
  <c r="F829" i="5"/>
  <c r="F830" i="5"/>
  <c r="J830" i="5" s="1"/>
  <c r="F831" i="5"/>
  <c r="J831" i="5" s="1"/>
  <c r="F832" i="5"/>
  <c r="J832" i="5" s="1"/>
  <c r="K832" i="5"/>
  <c r="J833" i="5"/>
  <c r="K833" i="5"/>
  <c r="J834" i="5"/>
  <c r="K834" i="5"/>
  <c r="J835" i="5"/>
  <c r="K835" i="5"/>
  <c r="L835" i="5" s="1"/>
  <c r="K836" i="5"/>
  <c r="L837" i="5"/>
  <c r="F838" i="5"/>
  <c r="J838" i="5"/>
  <c r="K838" i="5"/>
  <c r="F839" i="5"/>
  <c r="F840" i="5"/>
  <c r="J840" i="5" s="1"/>
  <c r="K840" i="5"/>
  <c r="F841" i="5"/>
  <c r="J841" i="5" s="1"/>
  <c r="K841" i="5"/>
  <c r="F842" i="5"/>
  <c r="J842" i="5"/>
  <c r="K842" i="5"/>
  <c r="L842" i="5"/>
  <c r="F843" i="5"/>
  <c r="J843" i="5"/>
  <c r="K843" i="5"/>
  <c r="L843" i="5"/>
  <c r="F844" i="5"/>
  <c r="J844" i="5"/>
  <c r="K844" i="5"/>
  <c r="L844" i="5"/>
  <c r="J845" i="5"/>
  <c r="K845" i="5"/>
  <c r="L845" i="5" s="1"/>
  <c r="J846" i="5"/>
  <c r="K846" i="5"/>
  <c r="L846" i="5" s="1"/>
  <c r="K847" i="5"/>
  <c r="L848" i="5"/>
  <c r="F849" i="5"/>
  <c r="J849" i="5"/>
  <c r="K849" i="5"/>
  <c r="F850" i="5"/>
  <c r="F851" i="5"/>
  <c r="J851" i="5" s="1"/>
  <c r="K851" i="5"/>
  <c r="F852" i="5"/>
  <c r="J852" i="5" s="1"/>
  <c r="K852" i="5"/>
  <c r="F853" i="5"/>
  <c r="J853" i="5"/>
  <c r="K853" i="5"/>
  <c r="F854" i="5"/>
  <c r="F855" i="5"/>
  <c r="J855" i="5" s="1"/>
  <c r="K855" i="5"/>
  <c r="F856" i="5"/>
  <c r="J856" i="5" s="1"/>
  <c r="K856" i="5"/>
  <c r="F857" i="5"/>
  <c r="J857" i="5"/>
  <c r="K857" i="5"/>
  <c r="F858" i="5"/>
  <c r="F859" i="5"/>
  <c r="J859" i="5" s="1"/>
  <c r="K859" i="5"/>
  <c r="F860" i="5"/>
  <c r="J860" i="5" s="1"/>
  <c r="K860" i="5"/>
  <c r="F861" i="5"/>
  <c r="J861" i="5"/>
  <c r="K861" i="5"/>
  <c r="F862" i="5"/>
  <c r="F863" i="5"/>
  <c r="J863" i="5" s="1"/>
  <c r="K863" i="5"/>
  <c r="J864" i="5"/>
  <c r="K864" i="5"/>
  <c r="J865" i="5"/>
  <c r="K865" i="5"/>
  <c r="L865" i="5" s="1"/>
  <c r="K866" i="5"/>
  <c r="L867" i="5"/>
  <c r="F868" i="5"/>
  <c r="J868" i="5" s="1"/>
  <c r="K868" i="5"/>
  <c r="F869" i="5"/>
  <c r="J869" i="5" s="1"/>
  <c r="K869" i="5"/>
  <c r="F870" i="5"/>
  <c r="J870" i="5" s="1"/>
  <c r="K870" i="5"/>
  <c r="F871" i="5"/>
  <c r="J871" i="5" s="1"/>
  <c r="K871" i="5"/>
  <c r="F872" i="5"/>
  <c r="J872" i="5"/>
  <c r="K872" i="5"/>
  <c r="F873" i="5"/>
  <c r="F874" i="5"/>
  <c r="J874" i="5" s="1"/>
  <c r="K874" i="5"/>
  <c r="J875" i="5"/>
  <c r="K875" i="5"/>
  <c r="L875" i="5" s="1"/>
  <c r="J876" i="5"/>
  <c r="K876" i="5"/>
  <c r="K877" i="5"/>
  <c r="L878" i="5"/>
  <c r="F879" i="5"/>
  <c r="J879" i="5" s="1"/>
  <c r="K879" i="5"/>
  <c r="F880" i="5"/>
  <c r="J880" i="5" s="1"/>
  <c r="K880" i="5"/>
  <c r="F881" i="5"/>
  <c r="J881" i="5"/>
  <c r="K881" i="5"/>
  <c r="F882" i="5"/>
  <c r="F883" i="5"/>
  <c r="J883" i="5" s="1"/>
  <c r="K883" i="5"/>
  <c r="F884" i="5"/>
  <c r="J884" i="5" s="1"/>
  <c r="K884" i="5"/>
  <c r="F885" i="5"/>
  <c r="J885" i="5"/>
  <c r="K885" i="5"/>
  <c r="F886" i="5"/>
  <c r="F887" i="5"/>
  <c r="J887" i="5" s="1"/>
  <c r="K887" i="5"/>
  <c r="F888" i="5"/>
  <c r="J888" i="5" s="1"/>
  <c r="K888" i="5"/>
  <c r="F889" i="5"/>
  <c r="J889" i="5"/>
  <c r="K889" i="5"/>
  <c r="F890" i="5"/>
  <c r="F891" i="5"/>
  <c r="J891" i="5" s="1"/>
  <c r="K891" i="5"/>
  <c r="F892" i="5"/>
  <c r="J892" i="5" s="1"/>
  <c r="K892" i="5"/>
  <c r="F893" i="5"/>
  <c r="J893" i="5"/>
  <c r="K893" i="5"/>
  <c r="J894" i="5"/>
  <c r="K894" i="5"/>
  <c r="J895" i="5"/>
  <c r="L895" i="5" s="1"/>
  <c r="K895" i="5"/>
  <c r="J896" i="5"/>
  <c r="K896" i="5"/>
  <c r="K897" i="5"/>
  <c r="L898" i="5"/>
  <c r="F899" i="5"/>
  <c r="G899" i="5"/>
  <c r="F900" i="5"/>
  <c r="J900" i="5" s="1"/>
  <c r="F901" i="5"/>
  <c r="J901" i="5" s="1"/>
  <c r="F902" i="5"/>
  <c r="J902" i="5" s="1"/>
  <c r="K902" i="5"/>
  <c r="F903" i="5"/>
  <c r="J904" i="5"/>
  <c r="K904" i="5"/>
  <c r="K905" i="5"/>
  <c r="L906" i="5"/>
  <c r="F907" i="5"/>
  <c r="J907" i="5" s="1"/>
  <c r="F908" i="5"/>
  <c r="J908" i="5" s="1"/>
  <c r="F909" i="5"/>
  <c r="J909" i="5" s="1"/>
  <c r="K909" i="5"/>
  <c r="F910" i="5"/>
  <c r="F911" i="5"/>
  <c r="J911" i="5" s="1"/>
  <c r="F912" i="5"/>
  <c r="J912" i="5" s="1"/>
  <c r="J913" i="5"/>
  <c r="K913" i="5"/>
  <c r="J914" i="5"/>
  <c r="K914" i="5"/>
  <c r="K915" i="5"/>
  <c r="L916" i="5"/>
  <c r="F917" i="5"/>
  <c r="J917" i="5" s="1"/>
  <c r="F918" i="5"/>
  <c r="J918" i="5" s="1"/>
  <c r="K918" i="5"/>
  <c r="F919" i="5"/>
  <c r="F920" i="5"/>
  <c r="J920" i="5" s="1"/>
  <c r="F921" i="5"/>
  <c r="J921" i="5" s="1"/>
  <c r="F922" i="5"/>
  <c r="J922" i="5" s="1"/>
  <c r="K922" i="5"/>
  <c r="F923" i="5"/>
  <c r="F924" i="5"/>
  <c r="J924" i="5" s="1"/>
  <c r="F925" i="5"/>
  <c r="J925" i="5" s="1"/>
  <c r="F926" i="5"/>
  <c r="J926" i="5" s="1"/>
  <c r="F927" i="5"/>
  <c r="J927" i="5" s="1"/>
  <c r="F928" i="5"/>
  <c r="J928" i="5" s="1"/>
  <c r="J929" i="5"/>
  <c r="K929" i="5"/>
  <c r="J930" i="5"/>
  <c r="K930" i="5"/>
  <c r="J931" i="5"/>
  <c r="K931" i="5"/>
  <c r="F932" i="5"/>
  <c r="J932" i="5" s="1"/>
  <c r="J933" i="5"/>
  <c r="K933" i="5"/>
  <c r="J934" i="5"/>
  <c r="K934" i="5"/>
  <c r="J935" i="5"/>
  <c r="K935" i="5"/>
  <c r="J936" i="5"/>
  <c r="K936" i="5"/>
  <c r="F937" i="5"/>
  <c r="J937" i="5" s="1"/>
  <c r="K938" i="5"/>
  <c r="L939" i="5"/>
  <c r="F940" i="5"/>
  <c r="J940" i="5" s="1"/>
  <c r="F941" i="5"/>
  <c r="J941" i="5" s="1"/>
  <c r="F942" i="5"/>
  <c r="J942" i="5" s="1"/>
  <c r="F943" i="5"/>
  <c r="J943" i="5" s="1"/>
  <c r="F944" i="5"/>
  <c r="J944" i="5" s="1"/>
  <c r="F945" i="5"/>
  <c r="J945" i="5" s="1"/>
  <c r="F946" i="5"/>
  <c r="J946" i="5" s="1"/>
  <c r="J947" i="5"/>
  <c r="K947" i="5"/>
  <c r="J948" i="5"/>
  <c r="K948" i="5"/>
  <c r="K949" i="5"/>
  <c r="L950" i="5"/>
  <c r="F951" i="5"/>
  <c r="J951" i="5" s="1"/>
  <c r="F952" i="5"/>
  <c r="J952" i="5" s="1"/>
  <c r="K952" i="5"/>
  <c r="F953" i="5"/>
  <c r="F954" i="5"/>
  <c r="J954" i="5" s="1"/>
  <c r="F955" i="5"/>
  <c r="J955" i="5" s="1"/>
  <c r="F956" i="5"/>
  <c r="J956" i="5" s="1"/>
  <c r="K956" i="5"/>
  <c r="F957" i="5"/>
  <c r="F958" i="5"/>
  <c r="J958" i="5" s="1"/>
  <c r="K959" i="5"/>
  <c r="L960" i="5"/>
  <c r="F961" i="5"/>
  <c r="J961" i="5" s="1"/>
  <c r="F962" i="5"/>
  <c r="J962" i="5" s="1"/>
  <c r="K962" i="5"/>
  <c r="F963" i="5"/>
  <c r="J963" i="5" s="1"/>
  <c r="K963" i="5"/>
  <c r="L963" i="5" s="1"/>
  <c r="F964" i="5"/>
  <c r="J964" i="5"/>
  <c r="K964" i="5"/>
  <c r="F965" i="5"/>
  <c r="J965" i="5" s="1"/>
  <c r="K966" i="5"/>
  <c r="J967" i="5"/>
  <c r="K967" i="5"/>
  <c r="L968" i="5"/>
  <c r="F969" i="5"/>
  <c r="J969" i="5"/>
  <c r="K969" i="5"/>
  <c r="F970" i="5"/>
  <c r="J970" i="5" s="1"/>
  <c r="F971" i="5"/>
  <c r="J971" i="5" s="1"/>
  <c r="K971" i="5"/>
  <c r="F972" i="5"/>
  <c r="J972" i="5" s="1"/>
  <c r="F973" i="5"/>
  <c r="J973" i="5" s="1"/>
  <c r="F974" i="5"/>
  <c r="J974" i="5" s="1"/>
  <c r="F975" i="5"/>
  <c r="J975" i="5" s="1"/>
  <c r="K975" i="5"/>
  <c r="F976" i="5"/>
  <c r="J976" i="5" s="1"/>
  <c r="F977" i="5"/>
  <c r="J977" i="5" s="1"/>
  <c r="K977" i="5"/>
  <c r="F978" i="5"/>
  <c r="J978" i="5" s="1"/>
  <c r="J979" i="5"/>
  <c r="K979" i="5"/>
  <c r="J980" i="5"/>
  <c r="K980" i="5"/>
  <c r="F981" i="5"/>
  <c r="J981" i="5" s="1"/>
  <c r="F982" i="5"/>
  <c r="J982" i="5" s="1"/>
  <c r="F983" i="5"/>
  <c r="J983" i="5" s="1"/>
  <c r="K983" i="5"/>
  <c r="J984" i="5"/>
  <c r="K984" i="5"/>
  <c r="J985" i="5"/>
  <c r="K985" i="5"/>
  <c r="J986" i="5"/>
  <c r="K986" i="5"/>
  <c r="L986" i="5" s="1"/>
  <c r="F987" i="5"/>
  <c r="J987" i="5" s="1"/>
  <c r="K987" i="5"/>
  <c r="F988" i="5"/>
  <c r="J988" i="5" s="1"/>
  <c r="K988" i="5"/>
  <c r="J989" i="5"/>
  <c r="K989" i="5"/>
  <c r="J990" i="5"/>
  <c r="K990" i="5"/>
  <c r="J991" i="5"/>
  <c r="K991" i="5"/>
  <c r="J992" i="5"/>
  <c r="K992" i="5"/>
  <c r="K993" i="5"/>
  <c r="L994" i="5"/>
  <c r="F995" i="5"/>
  <c r="J995" i="5" s="1"/>
  <c r="F996" i="5"/>
  <c r="J996" i="5" s="1"/>
  <c r="F997" i="5"/>
  <c r="J997" i="5" s="1"/>
  <c r="F998" i="5"/>
  <c r="J998" i="5" s="1"/>
  <c r="F999" i="5"/>
  <c r="J999" i="5" s="1"/>
  <c r="F1000" i="5"/>
  <c r="J1000" i="5" s="1"/>
  <c r="F1001" i="5"/>
  <c r="J1001" i="5" s="1"/>
  <c r="F1002" i="5"/>
  <c r="J1002" i="5" s="1"/>
  <c r="F1003" i="5"/>
  <c r="J1003" i="5" s="1"/>
  <c r="F1004" i="5"/>
  <c r="J1004" i="5" s="1"/>
  <c r="F1005" i="5"/>
  <c r="J1005" i="5" s="1"/>
  <c r="K1006" i="5"/>
  <c r="L1007" i="5"/>
  <c r="F1008" i="5"/>
  <c r="J1008" i="5" s="1"/>
  <c r="F1009" i="5"/>
  <c r="J1009" i="5" s="1"/>
  <c r="F1010" i="5"/>
  <c r="J1010" i="5" s="1"/>
  <c r="F1011" i="5"/>
  <c r="J1011" i="5" s="1"/>
  <c r="F1012" i="5"/>
  <c r="J1012" i="5" s="1"/>
  <c r="F1013" i="5"/>
  <c r="J1013" i="5" s="1"/>
  <c r="F1014" i="5"/>
  <c r="J1014" i="5" s="1"/>
  <c r="F1015" i="5"/>
  <c r="J1015" i="5" s="1"/>
  <c r="F1016" i="5"/>
  <c r="J1016" i="5" s="1"/>
  <c r="F1017" i="5"/>
  <c r="J1017" i="5" s="1"/>
  <c r="F1018" i="5"/>
  <c r="J1018" i="5" s="1"/>
  <c r="F1019" i="5"/>
  <c r="J1019" i="5" s="1"/>
  <c r="K1019" i="5"/>
  <c r="F1020" i="5"/>
  <c r="J1020" i="5" s="1"/>
  <c r="J1021" i="5"/>
  <c r="K1021" i="5"/>
  <c r="J1022" i="5"/>
  <c r="K1022" i="5"/>
  <c r="J1023" i="5"/>
  <c r="K1023" i="5"/>
  <c r="J1024" i="5"/>
  <c r="L1024" i="5" s="1"/>
  <c r="K1024" i="5"/>
  <c r="J1025" i="5"/>
  <c r="K1025" i="5"/>
  <c r="F1026" i="5"/>
  <c r="J1026" i="5" s="1"/>
  <c r="K1026" i="5"/>
  <c r="J1027" i="5"/>
  <c r="K1027" i="5"/>
  <c r="F1028" i="5"/>
  <c r="J1028" i="5"/>
  <c r="L1028" i="5" s="1"/>
  <c r="K1028" i="5"/>
  <c r="F1029" i="5"/>
  <c r="J1029" i="5" s="1"/>
  <c r="L1029" i="5" s="1"/>
  <c r="K1029" i="5"/>
  <c r="J1030" i="5"/>
  <c r="K1030" i="5"/>
  <c r="L1030" i="5" s="1"/>
  <c r="K1031" i="5"/>
  <c r="L1032" i="5"/>
  <c r="F1033" i="5"/>
  <c r="J1033" i="5"/>
  <c r="K1033" i="5"/>
  <c r="F1034" i="5"/>
  <c r="J1034" i="5" s="1"/>
  <c r="F1035" i="5"/>
  <c r="J1035" i="5" s="1"/>
  <c r="K1035" i="5"/>
  <c r="F1036" i="5"/>
  <c r="J1036" i="5" s="1"/>
  <c r="K1036" i="5"/>
  <c r="F1037" i="5"/>
  <c r="J1037" i="5"/>
  <c r="K1037" i="5"/>
  <c r="F1038" i="5"/>
  <c r="J1038" i="5" s="1"/>
  <c r="F1039" i="5"/>
  <c r="J1039" i="5" s="1"/>
  <c r="K1039" i="5"/>
  <c r="F1040" i="5"/>
  <c r="J1040" i="5" s="1"/>
  <c r="K1040" i="5"/>
  <c r="J1041" i="5"/>
  <c r="K1041" i="5"/>
  <c r="L1041" i="5" s="1"/>
  <c r="F1042" i="5"/>
  <c r="J1042" i="5"/>
  <c r="K1042" i="5"/>
  <c r="F1043" i="5"/>
  <c r="J1043" i="5" s="1"/>
  <c r="F1044" i="5"/>
  <c r="J1044" i="5" s="1"/>
  <c r="K1044" i="5"/>
  <c r="F1045" i="5"/>
  <c r="J1045" i="5" s="1"/>
  <c r="K1045" i="5"/>
  <c r="F1046" i="5"/>
  <c r="J1046" i="5"/>
  <c r="K1046" i="5"/>
  <c r="F1047" i="5"/>
  <c r="J1047" i="5" s="1"/>
  <c r="F1048" i="5"/>
  <c r="J1048" i="5" s="1"/>
  <c r="K1048" i="5"/>
  <c r="F1049" i="5"/>
  <c r="J1049" i="5" s="1"/>
  <c r="K1049" i="5"/>
  <c r="F1050" i="5"/>
  <c r="J1050" i="5"/>
  <c r="K1050" i="5"/>
  <c r="F1051" i="5"/>
  <c r="J1051" i="5" s="1"/>
  <c r="F1052" i="5"/>
  <c r="J1052" i="5" s="1"/>
  <c r="K1052" i="5"/>
  <c r="F1053" i="5"/>
  <c r="J1053" i="5" s="1"/>
  <c r="K1053" i="5"/>
  <c r="F1054" i="5"/>
  <c r="J1054" i="5"/>
  <c r="K1054" i="5"/>
  <c r="F1055" i="5"/>
  <c r="J1055" i="5" s="1"/>
  <c r="F1056" i="5"/>
  <c r="J1056" i="5" s="1"/>
  <c r="K1056" i="5"/>
  <c r="F1057" i="5"/>
  <c r="J1057" i="5" s="1"/>
  <c r="K1057" i="5"/>
  <c r="J1058" i="5"/>
  <c r="K1058" i="5"/>
  <c r="J1059" i="5"/>
  <c r="K1059" i="5"/>
  <c r="L1059" i="5" s="1"/>
  <c r="J1060" i="5"/>
  <c r="K1060" i="5"/>
  <c r="J1061" i="5"/>
  <c r="K1061" i="5"/>
  <c r="J1062" i="5"/>
  <c r="K1062" i="5"/>
  <c r="J1063" i="5"/>
  <c r="K1063" i="5"/>
  <c r="L1063" i="5" s="1"/>
  <c r="J1064" i="5"/>
  <c r="K1064" i="5"/>
  <c r="J1065" i="5"/>
  <c r="K1065" i="5"/>
  <c r="J1066" i="5"/>
  <c r="K1066" i="5"/>
  <c r="J1067" i="5"/>
  <c r="K1067" i="5"/>
  <c r="F1068" i="5"/>
  <c r="J1068" i="5" s="1"/>
  <c r="F1069" i="5"/>
  <c r="J1069" i="5" s="1"/>
  <c r="J1070" i="5"/>
  <c r="K1070" i="5"/>
  <c r="J1071" i="5"/>
  <c r="K1071" i="5"/>
  <c r="J689" i="5" l="1"/>
  <c r="K689" i="5"/>
  <c r="J687" i="5"/>
  <c r="K687" i="5"/>
  <c r="J685" i="5"/>
  <c r="K685" i="5"/>
  <c r="J683" i="5"/>
  <c r="K683" i="5"/>
  <c r="J629" i="5"/>
  <c r="K629" i="5"/>
  <c r="J627" i="5"/>
  <c r="K627" i="5"/>
  <c r="J625" i="5"/>
  <c r="K625" i="5"/>
  <c r="J623" i="5"/>
  <c r="K623" i="5"/>
  <c r="J621" i="5"/>
  <c r="K621" i="5"/>
  <c r="J619" i="5"/>
  <c r="K619" i="5"/>
  <c r="L1027" i="5"/>
  <c r="L1025" i="5"/>
  <c r="K1018" i="5"/>
  <c r="K1017" i="5"/>
  <c r="K1016" i="5"/>
  <c r="K1015" i="5"/>
  <c r="K1014" i="5"/>
  <c r="K1013" i="5"/>
  <c r="K1012" i="5"/>
  <c r="K1011" i="5"/>
  <c r="K1010" i="5"/>
  <c r="K1009" i="5"/>
  <c r="K1008" i="5"/>
  <c r="K1005" i="5"/>
  <c r="K1004" i="5"/>
  <c r="K1003" i="5"/>
  <c r="K1002" i="5"/>
  <c r="K1001" i="5"/>
  <c r="K1000" i="5"/>
  <c r="K999" i="5"/>
  <c r="K998" i="5"/>
  <c r="L988" i="5"/>
  <c r="L987" i="5"/>
  <c r="K981" i="5"/>
  <c r="K974" i="5"/>
  <c r="L974" i="5" s="1"/>
  <c r="K973" i="5"/>
  <c r="K958" i="5"/>
  <c r="K955" i="5"/>
  <c r="K954" i="5"/>
  <c r="K951" i="5"/>
  <c r="K946" i="5"/>
  <c r="K945" i="5"/>
  <c r="K944" i="5"/>
  <c r="K943" i="5"/>
  <c r="K942" i="5"/>
  <c r="K941" i="5"/>
  <c r="K940" i="5"/>
  <c r="K937" i="5"/>
  <c r="L936" i="5"/>
  <c r="L933" i="5"/>
  <c r="K932" i="5"/>
  <c r="K928" i="5"/>
  <c r="K927" i="5"/>
  <c r="K926" i="5"/>
  <c r="K925" i="5"/>
  <c r="K924" i="5"/>
  <c r="K921" i="5"/>
  <c r="K920" i="5"/>
  <c r="K917" i="5"/>
  <c r="L913" i="5"/>
  <c r="K912" i="5"/>
  <c r="K911" i="5"/>
  <c r="K908" i="5"/>
  <c r="K907" i="5"/>
  <c r="K901" i="5"/>
  <c r="K900" i="5"/>
  <c r="L896" i="5"/>
  <c r="L834" i="5"/>
  <c r="K831" i="5"/>
  <c r="K830" i="5"/>
  <c r="K827" i="5"/>
  <c r="K826" i="5"/>
  <c r="L822" i="5"/>
  <c r="K802" i="5"/>
  <c r="K801" i="5"/>
  <c r="K798" i="5"/>
  <c r="K794" i="5"/>
  <c r="K789" i="5"/>
  <c r="K788" i="5"/>
  <c r="K785" i="5"/>
  <c r="K784" i="5"/>
  <c r="K779" i="5"/>
  <c r="K778" i="5"/>
  <c r="L773" i="5"/>
  <c r="L772" i="5"/>
  <c r="K752" i="5"/>
  <c r="K751" i="5"/>
  <c r="K748" i="5"/>
  <c r="K747" i="5"/>
  <c r="L734" i="5"/>
  <c r="K729" i="5"/>
  <c r="L729" i="5" s="1"/>
  <c r="K726" i="5"/>
  <c r="L722" i="5"/>
  <c r="K719" i="5"/>
  <c r="J688" i="5"/>
  <c r="K688" i="5"/>
  <c r="J686" i="5"/>
  <c r="K686" i="5"/>
  <c r="J684" i="5"/>
  <c r="K684" i="5"/>
  <c r="J682" i="5"/>
  <c r="K682" i="5"/>
  <c r="K670" i="5"/>
  <c r="J669" i="5"/>
  <c r="K669" i="5"/>
  <c r="J628" i="5"/>
  <c r="K628" i="5"/>
  <c r="J626" i="5"/>
  <c r="K626" i="5"/>
  <c r="J624" i="5"/>
  <c r="K624" i="5"/>
  <c r="J622" i="5"/>
  <c r="K622" i="5"/>
  <c r="J620" i="5"/>
  <c r="K620" i="5"/>
  <c r="J618" i="5"/>
  <c r="K618" i="5"/>
  <c r="K564" i="5"/>
  <c r="K554" i="5"/>
  <c r="L552" i="5"/>
  <c r="K551" i="5"/>
  <c r="L549" i="5"/>
  <c r="L547" i="5"/>
  <c r="L546" i="5"/>
  <c r="L533" i="5"/>
  <c r="K521" i="5"/>
  <c r="K448" i="5"/>
  <c r="K437" i="5"/>
  <c r="J425" i="5"/>
  <c r="K425" i="5"/>
  <c r="J423" i="5"/>
  <c r="K423" i="5"/>
  <c r="J421" i="5"/>
  <c r="K421" i="5"/>
  <c r="J419" i="5"/>
  <c r="K419" i="5"/>
  <c r="J417" i="5"/>
  <c r="K417" i="5"/>
  <c r="J415" i="5"/>
  <c r="K415" i="5"/>
  <c r="J413" i="5"/>
  <c r="K413" i="5"/>
  <c r="L407" i="5"/>
  <c r="L406" i="5"/>
  <c r="L405" i="5"/>
  <c r="L404" i="5"/>
  <c r="L403" i="5"/>
  <c r="L402" i="5"/>
  <c r="L401" i="5"/>
  <c r="L400" i="5"/>
  <c r="L399" i="5"/>
  <c r="L398" i="5"/>
  <c r="L397" i="5"/>
  <c r="L396" i="5"/>
  <c r="J426" i="5"/>
  <c r="K426" i="5"/>
  <c r="J424" i="5"/>
  <c r="K424" i="5"/>
  <c r="J422" i="5"/>
  <c r="K422" i="5"/>
  <c r="J420" i="5"/>
  <c r="K420" i="5"/>
  <c r="J418" i="5"/>
  <c r="K418" i="5"/>
  <c r="J416" i="5"/>
  <c r="K416" i="5"/>
  <c r="J414" i="5"/>
  <c r="K414" i="5"/>
  <c r="J382" i="5"/>
  <c r="K382" i="5"/>
  <c r="K221" i="5"/>
  <c r="K213" i="5"/>
  <c r="L208" i="5"/>
  <c r="K207" i="5"/>
  <c r="L409" i="5"/>
  <c r="L408" i="5"/>
  <c r="K381" i="5"/>
  <c r="L313" i="5"/>
  <c r="K301" i="5"/>
  <c r="L293" i="5"/>
  <c r="K292" i="5"/>
  <c r="K290" i="5"/>
  <c r="K289" i="5"/>
  <c r="K288" i="5"/>
  <c r="K287" i="5"/>
  <c r="K286" i="5"/>
  <c r="K285" i="5"/>
  <c r="K284" i="5"/>
  <c r="K283" i="5"/>
  <c r="K282" i="5"/>
  <c r="K281" i="5"/>
  <c r="L278" i="5"/>
  <c r="K277" i="5"/>
  <c r="K272" i="5"/>
  <c r="L268" i="5"/>
  <c r="K266" i="5"/>
  <c r="K265" i="5"/>
  <c r="K262" i="5"/>
  <c r="K261" i="5"/>
  <c r="L256" i="5"/>
  <c r="L255" i="5"/>
  <c r="K202" i="5"/>
  <c r="J923" i="5"/>
  <c r="K923" i="5"/>
  <c r="J910" i="5"/>
  <c r="K910" i="5"/>
  <c r="J903" i="5"/>
  <c r="K903" i="5"/>
  <c r="J886" i="5"/>
  <c r="K886" i="5"/>
  <c r="J873" i="5"/>
  <c r="K873" i="5"/>
  <c r="J862" i="5"/>
  <c r="K862" i="5"/>
  <c r="J854" i="5"/>
  <c r="K854" i="5"/>
  <c r="J850" i="5"/>
  <c r="K850" i="5"/>
  <c r="J839" i="5"/>
  <c r="K839" i="5"/>
  <c r="J829" i="5"/>
  <c r="K829" i="5"/>
  <c r="J825" i="5"/>
  <c r="K825" i="5"/>
  <c r="J817" i="5"/>
  <c r="K817" i="5"/>
  <c r="J957" i="5"/>
  <c r="K957" i="5"/>
  <c r="J953" i="5"/>
  <c r="K953" i="5"/>
  <c r="J919" i="5"/>
  <c r="K919" i="5"/>
  <c r="J899" i="5"/>
  <c r="K899" i="5"/>
  <c r="J890" i="5"/>
  <c r="K890" i="5"/>
  <c r="J882" i="5"/>
  <c r="K882" i="5"/>
  <c r="J858" i="5"/>
  <c r="K858" i="5"/>
  <c r="J800" i="5"/>
  <c r="K800" i="5"/>
  <c r="J793" i="5"/>
  <c r="K793" i="5"/>
  <c r="J787" i="5"/>
  <c r="K787" i="5"/>
  <c r="J781" i="5"/>
  <c r="K781" i="5"/>
  <c r="J777" i="5"/>
  <c r="K777" i="5"/>
  <c r="J750" i="5"/>
  <c r="K750" i="5"/>
  <c r="J746" i="5"/>
  <c r="K746" i="5"/>
  <c r="J718" i="5"/>
  <c r="K718" i="5"/>
  <c r="J613" i="5"/>
  <c r="K613" i="5"/>
  <c r="L603" i="5"/>
  <c r="J598" i="5"/>
  <c r="K598" i="5"/>
  <c r="J594" i="5"/>
  <c r="K594" i="5"/>
  <c r="J440" i="5"/>
  <c r="K440" i="5"/>
  <c r="J300" i="5"/>
  <c r="K300" i="5"/>
  <c r="J276" i="5"/>
  <c r="K276" i="5"/>
  <c r="J264" i="5"/>
  <c r="K264" i="5"/>
  <c r="J260" i="5"/>
  <c r="K260" i="5"/>
  <c r="J216" i="5"/>
  <c r="K216" i="5"/>
  <c r="J192" i="5"/>
  <c r="K192" i="5"/>
  <c r="J190" i="5"/>
  <c r="K190" i="5"/>
  <c r="K1069" i="5"/>
  <c r="L1069" i="5" s="1"/>
  <c r="K1068" i="5"/>
  <c r="L1068" i="5" s="1"/>
  <c r="L1067" i="5"/>
  <c r="L1065" i="5"/>
  <c r="L1064" i="5"/>
  <c r="K1055" i="5"/>
  <c r="K1051" i="5"/>
  <c r="K1047" i="5"/>
  <c r="K1043" i="5"/>
  <c r="K1038" i="5"/>
  <c r="K1034" i="5"/>
  <c r="K1020" i="5"/>
  <c r="L1020" i="5" s="1"/>
  <c r="L1017" i="5"/>
  <c r="L1016" i="5"/>
  <c r="L1015" i="5"/>
  <c r="L1014" i="5"/>
  <c r="L1013" i="5"/>
  <c r="L1012" i="5"/>
  <c r="L1011" i="5"/>
  <c r="L1010" i="5"/>
  <c r="L1009" i="5"/>
  <c r="L1008" i="5"/>
  <c r="L1005" i="5"/>
  <c r="L1004" i="5"/>
  <c r="L1003" i="5"/>
  <c r="L1002" i="5"/>
  <c r="L1001" i="5"/>
  <c r="L1000" i="5"/>
  <c r="L999" i="5"/>
  <c r="L998" i="5"/>
  <c r="L992" i="5"/>
  <c r="L990" i="5"/>
  <c r="L989" i="5"/>
  <c r="L979" i="5"/>
  <c r="K978" i="5"/>
  <c r="L978" i="5" s="1"/>
  <c r="K970" i="5"/>
  <c r="L970" i="5" s="1"/>
  <c r="L869" i="5"/>
  <c r="L868" i="5"/>
  <c r="K737" i="5"/>
  <c r="J736" i="5"/>
  <c r="K736" i="5"/>
  <c r="L736" i="5" s="1"/>
  <c r="K728" i="5"/>
  <c r="J714" i="5"/>
  <c r="K714" i="5"/>
  <c r="L714" i="5" s="1"/>
  <c r="K676" i="5"/>
  <c r="J675" i="5"/>
  <c r="K675" i="5"/>
  <c r="K672" i="5"/>
  <c r="J671" i="5"/>
  <c r="K671" i="5"/>
  <c r="J567" i="5"/>
  <c r="K567" i="5"/>
  <c r="K563" i="5"/>
  <c r="J562" i="5"/>
  <c r="K562" i="5"/>
  <c r="K559" i="5"/>
  <c r="J558" i="5"/>
  <c r="K558" i="5"/>
  <c r="K520" i="5"/>
  <c r="J519" i="5"/>
  <c r="K519" i="5"/>
  <c r="K516" i="5"/>
  <c r="K469" i="5"/>
  <c r="L469" i="5" s="1"/>
  <c r="K468" i="5"/>
  <c r="L468" i="5" s="1"/>
  <c r="K467" i="5"/>
  <c r="L467" i="5" s="1"/>
  <c r="K466" i="5"/>
  <c r="L466" i="5" s="1"/>
  <c r="K465" i="5"/>
  <c r="L465" i="5" s="1"/>
  <c r="K464" i="5"/>
  <c r="L464" i="5" s="1"/>
  <c r="K463" i="5"/>
  <c r="L463" i="5" s="1"/>
  <c r="K462" i="5"/>
  <c r="L462" i="5" s="1"/>
  <c r="K461" i="5"/>
  <c r="L461" i="5" s="1"/>
  <c r="K460" i="5"/>
  <c r="L460" i="5" s="1"/>
  <c r="K459" i="5"/>
  <c r="L459" i="5" s="1"/>
  <c r="J458" i="5"/>
  <c r="K458" i="5"/>
  <c r="K451" i="5"/>
  <c r="J447" i="5"/>
  <c r="K447" i="5"/>
  <c r="J436" i="5"/>
  <c r="K436" i="5"/>
  <c r="J390" i="5"/>
  <c r="K390" i="5"/>
  <c r="J388" i="5"/>
  <c r="K388" i="5"/>
  <c r="J386" i="5"/>
  <c r="K386" i="5"/>
  <c r="J380" i="5"/>
  <c r="K380" i="5"/>
  <c r="J374" i="5"/>
  <c r="L374" i="5" s="1"/>
  <c r="K374" i="5"/>
  <c r="J371" i="5"/>
  <c r="K371" i="5"/>
  <c r="J367" i="5"/>
  <c r="K367" i="5"/>
  <c r="J349" i="5"/>
  <c r="K349" i="5"/>
  <c r="J310" i="5"/>
  <c r="K310" i="5"/>
  <c r="J306" i="5"/>
  <c r="L306" i="5" s="1"/>
  <c r="K306" i="5"/>
  <c r="J220" i="5"/>
  <c r="K220" i="5"/>
  <c r="J206" i="5"/>
  <c r="K206" i="5"/>
  <c r="J199" i="5"/>
  <c r="L199" i="5" s="1"/>
  <c r="K199" i="5"/>
  <c r="J197" i="5"/>
  <c r="L197" i="5" s="1"/>
  <c r="K197" i="5"/>
  <c r="J191" i="5"/>
  <c r="L191" i="5" s="1"/>
  <c r="K191" i="5"/>
  <c r="L946" i="5"/>
  <c r="L945" i="5"/>
  <c r="L944" i="5"/>
  <c r="L943" i="5"/>
  <c r="L942" i="5"/>
  <c r="L941" i="5"/>
  <c r="L940" i="5"/>
  <c r="L937" i="5"/>
  <c r="L928" i="5"/>
  <c r="L927" i="5"/>
  <c r="L926" i="5"/>
  <c r="L925" i="5"/>
  <c r="L876" i="5"/>
  <c r="L742" i="5"/>
  <c r="L740" i="5"/>
  <c r="L739" i="5"/>
  <c r="L716" i="5"/>
  <c r="L678" i="5"/>
  <c r="L629" i="5"/>
  <c r="L628" i="5"/>
  <c r="L627" i="5"/>
  <c r="L626" i="5"/>
  <c r="L625" i="5"/>
  <c r="L624" i="5"/>
  <c r="L623" i="5"/>
  <c r="L622" i="5"/>
  <c r="L621" i="5"/>
  <c r="L620" i="5"/>
  <c r="L619" i="5"/>
  <c r="L618" i="5"/>
  <c r="L614" i="5"/>
  <c r="J568" i="5"/>
  <c r="L470" i="5"/>
  <c r="J450" i="5"/>
  <c r="K450" i="5"/>
  <c r="J446" i="5"/>
  <c r="K446" i="5"/>
  <c r="J439" i="5"/>
  <c r="K439" i="5"/>
  <c r="J433" i="5"/>
  <c r="K433" i="5"/>
  <c r="J389" i="5"/>
  <c r="K389" i="5"/>
  <c r="J387" i="5"/>
  <c r="K387" i="5"/>
  <c r="J384" i="5"/>
  <c r="K384" i="5"/>
  <c r="L381" i="5"/>
  <c r="J378" i="5"/>
  <c r="K378" i="5"/>
  <c r="J373" i="5"/>
  <c r="K373" i="5"/>
  <c r="J307" i="5"/>
  <c r="K307" i="5"/>
  <c r="J303" i="5"/>
  <c r="K303" i="5"/>
  <c r="J299" i="5"/>
  <c r="K299" i="5"/>
  <c r="L290" i="5"/>
  <c r="L289" i="5"/>
  <c r="L288" i="5"/>
  <c r="L287" i="5"/>
  <c r="L286" i="5"/>
  <c r="L285" i="5"/>
  <c r="L284" i="5"/>
  <c r="L283" i="5"/>
  <c r="L282" i="5"/>
  <c r="L281" i="5"/>
  <c r="J223" i="5"/>
  <c r="K223" i="5"/>
  <c r="J219" i="5"/>
  <c r="K219" i="5"/>
  <c r="J215" i="5"/>
  <c r="K215" i="5"/>
  <c r="J205" i="5"/>
  <c r="K205" i="5"/>
  <c r="L202" i="5"/>
  <c r="J198" i="5"/>
  <c r="K198" i="5"/>
  <c r="L385" i="5"/>
  <c r="J379" i="5"/>
  <c r="L372" i="5"/>
  <c r="L305" i="5"/>
  <c r="J295" i="5"/>
  <c r="L294" i="5"/>
  <c r="L291" i="5"/>
  <c r="L225" i="5"/>
  <c r="L196" i="5"/>
  <c r="L194" i="5"/>
  <c r="L193" i="5"/>
  <c r="L1071" i="5"/>
  <c r="L1070" i="5"/>
  <c r="L1061" i="5"/>
  <c r="L1060" i="5"/>
  <c r="L1056" i="5"/>
  <c r="L1054" i="5"/>
  <c r="L1052" i="5"/>
  <c r="L1050" i="5"/>
  <c r="L1048" i="5"/>
  <c r="L1046" i="5"/>
  <c r="L1044" i="5"/>
  <c r="L1042" i="5"/>
  <c r="L1022" i="5"/>
  <c r="L1021" i="5"/>
  <c r="K997" i="5"/>
  <c r="K996" i="5"/>
  <c r="K995" i="5"/>
  <c r="K982" i="5"/>
  <c r="K976" i="5"/>
  <c r="L976" i="5" s="1"/>
  <c r="K972" i="5"/>
  <c r="L972" i="5" s="1"/>
  <c r="K965" i="5"/>
  <c r="L965" i="5" s="1"/>
  <c r="K961" i="5"/>
  <c r="L961" i="5" s="1"/>
  <c r="L955" i="5"/>
  <c r="L1057" i="5"/>
  <c r="L1055" i="5"/>
  <c r="L1053" i="5"/>
  <c r="L1051" i="5"/>
  <c r="L1049" i="5"/>
  <c r="L1047" i="5"/>
  <c r="L1045" i="5"/>
  <c r="L1043" i="5"/>
  <c r="L1040" i="5"/>
  <c r="L1038" i="5"/>
  <c r="L1036" i="5"/>
  <c r="L1034" i="5"/>
  <c r="L997" i="5"/>
  <c r="L996" i="5"/>
  <c r="L995" i="5"/>
  <c r="L984" i="5"/>
  <c r="L983" i="5"/>
  <c r="L981" i="5"/>
  <c r="L967" i="5"/>
  <c r="L964" i="5"/>
  <c r="L962" i="5"/>
  <c r="L958" i="5"/>
  <c r="L956" i="5"/>
  <c r="L954" i="5"/>
  <c r="L952" i="5"/>
  <c r="L948" i="5"/>
  <c r="L947" i="5"/>
  <c r="L930" i="5"/>
  <c r="L929" i="5"/>
  <c r="L922" i="5"/>
  <c r="L920" i="5"/>
  <c r="L918" i="5"/>
  <c r="L914" i="5"/>
  <c r="J905" i="5"/>
  <c r="L905" i="5" s="1"/>
  <c r="L911" i="5"/>
  <c r="L909" i="5"/>
  <c r="L907" i="5"/>
  <c r="L902" i="5"/>
  <c r="L900" i="5"/>
  <c r="L893" i="5"/>
  <c r="L891" i="5"/>
  <c r="L863" i="5"/>
  <c r="L861" i="5"/>
  <c r="L859" i="5"/>
  <c r="L855" i="5"/>
  <c r="L853" i="5"/>
  <c r="L851" i="5"/>
  <c r="L849" i="5"/>
  <c r="L832" i="5"/>
  <c r="L830" i="5"/>
  <c r="L828" i="5"/>
  <c r="L826" i="5"/>
  <c r="L794" i="5"/>
  <c r="L792" i="5"/>
  <c r="L788" i="5"/>
  <c r="L786" i="5"/>
  <c r="L784" i="5"/>
  <c r="L780" i="5"/>
  <c r="L778" i="5"/>
  <c r="L774" i="5"/>
  <c r="L754" i="5"/>
  <c r="L753" i="5"/>
  <c r="L751" i="5"/>
  <c r="L749" i="5"/>
  <c r="L747" i="5"/>
  <c r="L743" i="5"/>
  <c r="K731" i="5"/>
  <c r="L731" i="5" s="1"/>
  <c r="K727" i="5"/>
  <c r="L727" i="5" s="1"/>
  <c r="K712" i="5"/>
  <c r="L712" i="5" s="1"/>
  <c r="L704" i="5"/>
  <c r="L703" i="5"/>
  <c r="L702" i="5"/>
  <c r="L701" i="5"/>
  <c r="L700" i="5"/>
  <c r="L697" i="5"/>
  <c r="L696" i="5"/>
  <c r="L695" i="5"/>
  <c r="L694" i="5"/>
  <c r="L693" i="5"/>
  <c r="L692" i="5"/>
  <c r="L689" i="5"/>
  <c r="L688" i="5"/>
  <c r="L687" i="5"/>
  <c r="L686" i="5"/>
  <c r="L685" i="5"/>
  <c r="L684" i="5"/>
  <c r="L683" i="5"/>
  <c r="L682" i="5"/>
  <c r="K677" i="5"/>
  <c r="L953" i="5"/>
  <c r="L951" i="5"/>
  <c r="L932" i="5"/>
  <c r="L903" i="5"/>
  <c r="L901" i="5"/>
  <c r="L899" i="5"/>
  <c r="L892" i="5"/>
  <c r="L890" i="5"/>
  <c r="L888" i="5"/>
  <c r="L886" i="5"/>
  <c r="L884" i="5"/>
  <c r="L882" i="5"/>
  <c r="L880" i="5"/>
  <c r="L873" i="5"/>
  <c r="L871" i="5"/>
  <c r="L862" i="5"/>
  <c r="L860" i="5"/>
  <c r="L858" i="5"/>
  <c r="L854" i="5"/>
  <c r="L852" i="5"/>
  <c r="L850" i="5"/>
  <c r="L839" i="5"/>
  <c r="L831" i="5"/>
  <c r="L829" i="5"/>
  <c r="L827" i="5"/>
  <c r="L825" i="5"/>
  <c r="L819" i="5"/>
  <c r="L817" i="5"/>
  <c r="L800" i="5"/>
  <c r="L798" i="5"/>
  <c r="L793" i="5"/>
  <c r="L789" i="5"/>
  <c r="L787" i="5"/>
  <c r="L785" i="5"/>
  <c r="L781" i="5"/>
  <c r="L779" i="5"/>
  <c r="L777" i="5"/>
  <c r="L605" i="5"/>
  <c r="L600" i="5"/>
  <c r="L598" i="5"/>
  <c r="L596" i="5"/>
  <c r="L594" i="5"/>
  <c r="L567" i="5"/>
  <c r="J514" i="5"/>
  <c r="L514" i="5" s="1"/>
  <c r="L521" i="5"/>
  <c r="L519" i="5"/>
  <c r="L517" i="5"/>
  <c r="L458" i="5"/>
  <c r="L452" i="5"/>
  <c r="L450" i="5"/>
  <c r="L448" i="5"/>
  <c r="L446" i="5"/>
  <c r="L441" i="5"/>
  <c r="L439" i="5"/>
  <c r="L437" i="5"/>
  <c r="L433" i="5"/>
  <c r="L720" i="5"/>
  <c r="L719" i="5"/>
  <c r="L717" i="5"/>
  <c r="L713" i="5"/>
  <c r="L711" i="5"/>
  <c r="L709" i="5"/>
  <c r="L708" i="5"/>
  <c r="L705" i="5"/>
  <c r="L676" i="5"/>
  <c r="L674" i="5"/>
  <c r="L672" i="5"/>
  <c r="L670" i="5"/>
  <c r="L630" i="5"/>
  <c r="L612" i="5"/>
  <c r="L602" i="5"/>
  <c r="L599" i="5"/>
  <c r="L597" i="5"/>
  <c r="L595" i="5"/>
  <c r="L578" i="5"/>
  <c r="L573" i="5"/>
  <c r="L572" i="5"/>
  <c r="L570" i="5"/>
  <c r="L566" i="5"/>
  <c r="L565" i="5"/>
  <c r="L563" i="5"/>
  <c r="L561" i="5"/>
  <c r="L559" i="5"/>
  <c r="L557" i="5"/>
  <c r="L553" i="5"/>
  <c r="L550" i="5"/>
  <c r="L455" i="5"/>
  <c r="L454" i="5"/>
  <c r="L453" i="5"/>
  <c r="L451" i="5"/>
  <c r="L449" i="5"/>
  <c r="L447" i="5"/>
  <c r="L442" i="5"/>
  <c r="L440" i="5"/>
  <c r="L438" i="5"/>
  <c r="L436" i="5"/>
  <c r="L427" i="5"/>
  <c r="L426" i="5"/>
  <c r="L425" i="5"/>
  <c r="L424" i="5"/>
  <c r="L423" i="5"/>
  <c r="L422" i="5"/>
  <c r="L421" i="5"/>
  <c r="L420" i="5"/>
  <c r="L419" i="5"/>
  <c r="L418" i="5"/>
  <c r="L417" i="5"/>
  <c r="L416" i="5"/>
  <c r="L415" i="5"/>
  <c r="L414" i="5"/>
  <c r="L413" i="5"/>
  <c r="L378" i="5"/>
  <c r="L351" i="5"/>
  <c r="L349" i="5"/>
  <c r="L347" i="5"/>
  <c r="L428" i="5"/>
  <c r="L392" i="5"/>
  <c r="L391" i="5"/>
  <c r="L383" i="5"/>
  <c r="L376" i="5"/>
  <c r="L375" i="5"/>
  <c r="L370" i="5"/>
  <c r="L368" i="5"/>
  <c r="L352" i="5"/>
  <c r="L350" i="5"/>
  <c r="L348" i="5"/>
  <c r="L346" i="5"/>
  <c r="K344" i="5"/>
  <c r="L344" i="5" s="1"/>
  <c r="K324" i="5"/>
  <c r="L324" i="5" s="1"/>
  <c r="K323" i="5"/>
  <c r="L323" i="5" s="1"/>
  <c r="K322" i="5"/>
  <c r="L322" i="5" s="1"/>
  <c r="K321" i="5"/>
  <c r="L321" i="5" s="1"/>
  <c r="K320" i="5"/>
  <c r="L320" i="5" s="1"/>
  <c r="K319" i="5"/>
  <c r="L319" i="5" s="1"/>
  <c r="K318" i="5"/>
  <c r="L318" i="5" s="1"/>
  <c r="K317" i="5"/>
  <c r="L317" i="5" s="1"/>
  <c r="K316" i="5"/>
  <c r="L316" i="5" s="1"/>
  <c r="K315" i="5"/>
  <c r="L315" i="5" s="1"/>
  <c r="K314" i="5"/>
  <c r="L314" i="5" s="1"/>
  <c r="K312" i="5"/>
  <c r="L345" i="5"/>
  <c r="L311" i="5"/>
  <c r="L302" i="5"/>
  <c r="L300" i="5"/>
  <c r="L298" i="5"/>
  <c r="L270" i="5"/>
  <c r="L269" i="5"/>
  <c r="L265" i="5"/>
  <c r="L263" i="5"/>
  <c r="L261" i="5"/>
  <c r="L259" i="5"/>
  <c r="L245" i="5"/>
  <c r="L227" i="5"/>
  <c r="L226" i="5"/>
  <c r="L222" i="5"/>
  <c r="L220" i="5"/>
  <c r="L218" i="5"/>
  <c r="L216" i="5"/>
  <c r="L214" i="5"/>
  <c r="L210" i="5"/>
  <c r="L209" i="5"/>
  <c r="L206" i="5"/>
  <c r="L204" i="5"/>
  <c r="L303" i="5"/>
  <c r="L301" i="5"/>
  <c r="L299" i="5"/>
  <c r="L295" i="5"/>
  <c r="J273" i="5"/>
  <c r="L273" i="5" s="1"/>
  <c r="L276" i="5"/>
  <c r="L272" i="5"/>
  <c r="L266" i="5"/>
  <c r="L264" i="5"/>
  <c r="L262" i="5"/>
  <c r="L260" i="5"/>
  <c r="L223" i="5"/>
  <c r="L221" i="5"/>
  <c r="L219" i="5"/>
  <c r="L217" i="5"/>
  <c r="L215" i="5"/>
  <c r="L213" i="5"/>
  <c r="J188" i="5"/>
  <c r="L188" i="5" s="1"/>
  <c r="K259" i="3"/>
  <c r="K234" i="3"/>
  <c r="K227" i="3"/>
  <c r="K192" i="3"/>
  <c r="K186" i="3"/>
  <c r="K178" i="3"/>
  <c r="K169" i="3"/>
  <c r="K160" i="3"/>
  <c r="K123" i="3"/>
  <c r="K80" i="3"/>
  <c r="K34" i="3"/>
  <c r="J30" i="3"/>
  <c r="K268" i="3"/>
  <c r="K253" i="3"/>
  <c r="K236" i="3"/>
  <c r="K226" i="3"/>
  <c r="K225" i="3"/>
  <c r="K194" i="3"/>
  <c r="K189" i="3"/>
  <c r="K188" i="3"/>
  <c r="K185" i="3"/>
  <c r="K184" i="3"/>
  <c r="K181" i="3"/>
  <c r="K180" i="3"/>
  <c r="K172" i="3"/>
  <c r="K171" i="3"/>
  <c r="K168" i="3"/>
  <c r="K167" i="3"/>
  <c r="K163" i="3"/>
  <c r="K162" i="3"/>
  <c r="K159" i="3"/>
  <c r="K158" i="3"/>
  <c r="K139" i="3"/>
  <c r="K138" i="3"/>
  <c r="K113" i="3"/>
  <c r="K91" i="3"/>
  <c r="K68" i="3"/>
  <c r="K264" i="3"/>
  <c r="K255" i="3"/>
  <c r="K249" i="3"/>
  <c r="M249" i="3" s="1"/>
  <c r="K248" i="3"/>
  <c r="K242" i="3"/>
  <c r="M242" i="3" s="1"/>
  <c r="K217" i="3"/>
  <c r="K206" i="3"/>
  <c r="K127" i="3"/>
  <c r="K119" i="3"/>
  <c r="K107" i="3"/>
  <c r="K95" i="3"/>
  <c r="K87" i="3"/>
  <c r="K76" i="3"/>
  <c r="K62" i="3"/>
  <c r="K38" i="3"/>
  <c r="K37" i="3"/>
  <c r="K36" i="3"/>
  <c r="K33" i="3"/>
  <c r="K32" i="3"/>
  <c r="K267" i="3"/>
  <c r="K266" i="3"/>
  <c r="K258" i="3"/>
  <c r="K257" i="3"/>
  <c r="K246" i="3"/>
  <c r="M246" i="3" s="1"/>
  <c r="K241" i="3"/>
  <c r="M241" i="3" s="1"/>
  <c r="K238" i="3"/>
  <c r="K223" i="3"/>
  <c r="K216" i="3"/>
  <c r="K210" i="3"/>
  <c r="K205" i="3"/>
  <c r="K204" i="3"/>
  <c r="J136" i="3"/>
  <c r="J133" i="3" s="1"/>
  <c r="K129" i="3"/>
  <c r="K126" i="3"/>
  <c r="K125" i="3"/>
  <c r="K122" i="3"/>
  <c r="K121" i="3"/>
  <c r="K118" i="3"/>
  <c r="K115" i="3"/>
  <c r="K110" i="3"/>
  <c r="K109" i="3"/>
  <c r="K106" i="3"/>
  <c r="K105" i="3"/>
  <c r="K98" i="3"/>
  <c r="K97" i="3"/>
  <c r="K94" i="3"/>
  <c r="K93" i="3"/>
  <c r="K90" i="3"/>
  <c r="K89" i="3"/>
  <c r="K86" i="3"/>
  <c r="K82" i="3"/>
  <c r="K79" i="3"/>
  <c r="K78" i="3"/>
  <c r="K75" i="3"/>
  <c r="K74" i="3"/>
  <c r="K67" i="3"/>
  <c r="K66" i="3"/>
  <c r="K61" i="3"/>
  <c r="K60" i="3"/>
  <c r="K57" i="3"/>
  <c r="J63" i="3"/>
  <c r="K269" i="3"/>
  <c r="K265" i="3"/>
  <c r="K254" i="3"/>
  <c r="K245" i="3"/>
  <c r="M245" i="3" s="1"/>
  <c r="J239" i="3"/>
  <c r="M239" i="3" s="1"/>
  <c r="K235" i="3"/>
  <c r="K222" i="3"/>
  <c r="K209" i="3"/>
  <c r="K193" i="3"/>
  <c r="K187" i="3"/>
  <c r="K183" i="3"/>
  <c r="K179" i="3"/>
  <c r="K170" i="3"/>
  <c r="K165" i="3"/>
  <c r="K161" i="3"/>
  <c r="K157" i="3"/>
  <c r="K137" i="3"/>
  <c r="K136" i="3"/>
  <c r="K128" i="3"/>
  <c r="K124" i="3"/>
  <c r="K120" i="3"/>
  <c r="K114" i="3"/>
  <c r="K108" i="3"/>
  <c r="K104" i="3"/>
  <c r="K96" i="3"/>
  <c r="K92" i="3"/>
  <c r="K88" i="3"/>
  <c r="K81" i="3"/>
  <c r="K77" i="3"/>
  <c r="K73" i="3"/>
  <c r="K65" i="3"/>
  <c r="K59" i="3"/>
  <c r="K55" i="3"/>
  <c r="K43" i="3"/>
  <c r="K39" i="3"/>
  <c r="K35" i="3"/>
  <c r="K256" i="3"/>
  <c r="K252" i="3"/>
  <c r="K247" i="3"/>
  <c r="M247" i="3" s="1"/>
  <c r="K243" i="3"/>
  <c r="M243" i="3" s="1"/>
  <c r="K237" i="3"/>
  <c r="K233" i="3"/>
  <c r="K224" i="3"/>
  <c r="J220" i="3"/>
  <c r="K218" i="3"/>
  <c r="K213" i="3"/>
  <c r="K207" i="3"/>
  <c r="J201" i="3"/>
  <c r="K195" i="3"/>
  <c r="K191" i="3"/>
  <c r="J116" i="3"/>
  <c r="J84" i="3"/>
  <c r="J250" i="3"/>
  <c r="J229" i="3"/>
  <c r="J214" i="3"/>
  <c r="J102" i="3"/>
  <c r="J71" i="3"/>
  <c r="J260" i="3"/>
  <c r="M248" i="3"/>
  <c r="M244" i="3"/>
  <c r="J176" i="3"/>
  <c r="J153" i="3"/>
  <c r="J680" i="5"/>
  <c r="L680" i="5" s="1"/>
  <c r="J667" i="5"/>
  <c r="J616" i="5"/>
  <c r="L616" i="5" s="1"/>
  <c r="J609" i="5"/>
  <c r="L609" i="5" s="1"/>
  <c r="J555" i="5"/>
  <c r="L555" i="5" s="1"/>
  <c r="J444" i="5"/>
  <c r="L444" i="5" s="1"/>
  <c r="J411" i="5"/>
  <c r="L411" i="5" s="1"/>
  <c r="J279" i="5"/>
  <c r="L279" i="5" s="1"/>
  <c r="J248" i="5"/>
  <c r="L248" i="5" s="1"/>
  <c r="J232" i="5"/>
  <c r="L232" i="5" s="1"/>
  <c r="L1066" i="5"/>
  <c r="L1062" i="5"/>
  <c r="L1058" i="5"/>
  <c r="J1031" i="5"/>
  <c r="L1031" i="5" s="1"/>
  <c r="L1039" i="5"/>
  <c r="L1037" i="5"/>
  <c r="L1035" i="5"/>
  <c r="L1033" i="5"/>
  <c r="L1026" i="5"/>
  <c r="L1023" i="5"/>
  <c r="L991" i="5"/>
  <c r="L985" i="5"/>
  <c r="L982" i="5"/>
  <c r="L980" i="5"/>
  <c r="L977" i="5"/>
  <c r="L975" i="5"/>
  <c r="L973" i="5"/>
  <c r="L971" i="5"/>
  <c r="L969" i="5"/>
  <c r="L934" i="5"/>
  <c r="L931" i="5"/>
  <c r="L923" i="5"/>
  <c r="J866" i="5"/>
  <c r="L866" i="5" s="1"/>
  <c r="J836" i="5"/>
  <c r="L836" i="5" s="1"/>
  <c r="J813" i="5"/>
  <c r="L813" i="5" s="1"/>
  <c r="J796" i="5"/>
  <c r="L796" i="5" s="1"/>
  <c r="J763" i="5"/>
  <c r="L763" i="5" s="1"/>
  <c r="J757" i="5"/>
  <c r="L757" i="5" s="1"/>
  <c r="J394" i="5"/>
  <c r="L394" i="5" s="1"/>
  <c r="L921" i="5"/>
  <c r="L919" i="5"/>
  <c r="L917" i="5"/>
  <c r="L912" i="5"/>
  <c r="L910" i="5"/>
  <c r="L908" i="5"/>
  <c r="L904" i="5"/>
  <c r="J897" i="5"/>
  <c r="L897" i="5" s="1"/>
  <c r="L894" i="5"/>
  <c r="J877" i="5"/>
  <c r="L877" i="5" s="1"/>
  <c r="L887" i="5"/>
  <c r="L885" i="5"/>
  <c r="L883" i="5"/>
  <c r="L881" i="5"/>
  <c r="L879" i="5"/>
  <c r="L874" i="5"/>
  <c r="L872" i="5"/>
  <c r="L864" i="5"/>
  <c r="J847" i="5"/>
  <c r="L847" i="5" s="1"/>
  <c r="L840" i="5"/>
  <c r="L838" i="5"/>
  <c r="L833" i="5"/>
  <c r="J823" i="5"/>
  <c r="L823" i="5" s="1"/>
  <c r="L820" i="5"/>
  <c r="L818" i="5"/>
  <c r="L801" i="5"/>
  <c r="L799" i="5"/>
  <c r="L795" i="5"/>
  <c r="J790" i="5"/>
  <c r="L790" i="5" s="1"/>
  <c r="J782" i="5"/>
  <c r="L782" i="5" s="1"/>
  <c r="J775" i="5"/>
  <c r="L775" i="5" s="1"/>
  <c r="L755" i="5"/>
  <c r="J744" i="5"/>
  <c r="L744" i="5" s="1"/>
  <c r="L752" i="5"/>
  <c r="L750" i="5"/>
  <c r="L748" i="5"/>
  <c r="L746" i="5"/>
  <c r="L741" i="5"/>
  <c r="L737" i="5"/>
  <c r="L735" i="5"/>
  <c r="L732" i="5"/>
  <c r="L730" i="5"/>
  <c r="L728" i="5"/>
  <c r="L726" i="5"/>
  <c r="L721" i="5"/>
  <c r="L718" i="5"/>
  <c r="L715" i="5"/>
  <c r="L706" i="5"/>
  <c r="L677" i="5"/>
  <c r="L675" i="5"/>
  <c r="L673" i="5"/>
  <c r="L671" i="5"/>
  <c r="L669" i="5"/>
  <c r="L613" i="5"/>
  <c r="L611" i="5"/>
  <c r="L607" i="5"/>
  <c r="L604" i="5"/>
  <c r="L601" i="5"/>
  <c r="L574" i="5"/>
  <c r="L571" i="5"/>
  <c r="L568" i="5"/>
  <c r="L564" i="5"/>
  <c r="L562" i="5"/>
  <c r="L560" i="5"/>
  <c r="L558" i="5"/>
  <c r="L554" i="5"/>
  <c r="L551" i="5"/>
  <c r="L548" i="5"/>
  <c r="L534" i="5"/>
  <c r="L522" i="5"/>
  <c r="L520" i="5"/>
  <c r="L518" i="5"/>
  <c r="L516" i="5"/>
  <c r="L443" i="5"/>
  <c r="J434" i="5"/>
  <c r="L434" i="5" s="1"/>
  <c r="L432" i="5"/>
  <c r="L429" i="5"/>
  <c r="L410" i="5"/>
  <c r="L393" i="5"/>
  <c r="L384" i="5"/>
  <c r="L382" i="5"/>
  <c r="L379" i="5"/>
  <c r="L371" i="5"/>
  <c r="J308" i="5"/>
  <c r="L308" i="5" s="1"/>
  <c r="L369" i="5"/>
  <c r="L367" i="5"/>
  <c r="L363" i="5"/>
  <c r="L359" i="5"/>
  <c r="L353" i="5"/>
  <c r="J342" i="5"/>
  <c r="L342" i="5" s="1"/>
  <c r="L312" i="5"/>
  <c r="L304" i="5"/>
  <c r="J296" i="5"/>
  <c r="L296" i="5" s="1"/>
  <c r="L292" i="5"/>
  <c r="L277" i="5"/>
  <c r="L275" i="5"/>
  <c r="L271" i="5"/>
  <c r="L267" i="5"/>
  <c r="J257" i="5"/>
  <c r="L257" i="5" s="1"/>
  <c r="L246" i="5"/>
  <c r="L228" i="5"/>
  <c r="L224" i="5"/>
  <c r="J211" i="5"/>
  <c r="L211" i="5" s="1"/>
  <c r="L207" i="5"/>
  <c r="L205" i="5"/>
  <c r="L203" i="5"/>
  <c r="J200" i="5"/>
  <c r="L200" i="5" s="1"/>
  <c r="L195" i="5"/>
  <c r="L340" i="5"/>
  <c r="J966" i="5"/>
  <c r="L966" i="5" s="1"/>
  <c r="J959" i="5"/>
  <c r="L959" i="5" s="1"/>
  <c r="J949" i="5"/>
  <c r="L949" i="5" s="1"/>
  <c r="K1090" i="5"/>
  <c r="J1006" i="5"/>
  <c r="L1006" i="5" s="1"/>
  <c r="J993" i="5"/>
  <c r="L993" i="5" s="1"/>
  <c r="J938" i="5"/>
  <c r="L938" i="5" s="1"/>
  <c r="J915" i="5"/>
  <c r="L915" i="5" s="1"/>
  <c r="J724" i="5"/>
  <c r="L724" i="5" s="1"/>
  <c r="J698" i="5"/>
  <c r="L698" i="5" s="1"/>
  <c r="J690" i="5"/>
  <c r="L690" i="5" s="1"/>
  <c r="J536" i="5"/>
  <c r="L536" i="5" s="1"/>
  <c r="J524" i="5"/>
  <c r="L524" i="5" s="1"/>
  <c r="J365" i="5"/>
  <c r="L365" i="5" s="1"/>
  <c r="J592" i="5"/>
  <c r="L592" i="5" s="1"/>
  <c r="J456" i="5"/>
  <c r="L456" i="5" s="1"/>
  <c r="L190" i="5" l="1"/>
  <c r="L192" i="5"/>
  <c r="L957" i="5"/>
  <c r="L198" i="5"/>
  <c r="L387" i="5"/>
  <c r="L389" i="5"/>
  <c r="L307" i="5"/>
  <c r="L373" i="5"/>
  <c r="L310" i="5"/>
  <c r="L380" i="5"/>
  <c r="L386" i="5"/>
  <c r="L388" i="5"/>
  <c r="L390" i="5"/>
  <c r="L667" i="5"/>
  <c r="J1090" i="5"/>
  <c r="J359" i="3"/>
  <c r="K359" i="3"/>
</calcChain>
</file>

<file path=xl/sharedStrings.xml><?xml version="1.0" encoding="utf-8"?>
<sst xmlns="http://schemas.openxmlformats.org/spreadsheetml/2006/main" count="8621" uniqueCount="1561">
  <si>
    <t>PHỤ LỤC 1</t>
  </si>
  <si>
    <r>
      <t xml:space="preserve"> DỰ THẢO GIÁ TRỊ BỒI THƯỜNG, HỖ TRỢ KHI NHÀ NUỚC THU HỒI ĐẤT THỰC HIỆN DỰ ÁN DỰ ÁN CẢI THIỆN MÔI TRƯỜNG NƯỚC THÀNH PHỐ HUẾ. HẠNG MỤC: HỆ THỐNG THOÁT NƯỚC, LỀ ĐƯỜNG PHẠM VĂN ĐỒNG (ĐỢT 1)
</t>
    </r>
    <r>
      <rPr>
        <i/>
        <sz val="14"/>
        <color indexed="8"/>
        <rFont val="Times New Roman"/>
        <family val="1"/>
      </rPr>
      <t>(Kèm theo Thông báo số  715/TB-TTPTQĐ ngày 02/6/2023 của Trung tâm Phát triển quỹ đất thành phố Huế).</t>
    </r>
  </si>
  <si>
    <t>Số TT</t>
  </si>
  <si>
    <t>Số HS</t>
  </si>
  <si>
    <t>Tên loại chi phí 
bồi thường, hỗ trợ</t>
  </si>
  <si>
    <t>Mã số</t>
  </si>
  <si>
    <t>ĐVT</t>
  </si>
  <si>
    <t>Giá trị bồi thường, hỗ trợ</t>
  </si>
  <si>
    <t>GHI CHÚ</t>
  </si>
  <si>
    <t>Số lượng</t>
  </si>
  <si>
    <t>Đơn giá (đồng)</t>
  </si>
  <si>
    <t>Tỷ lệ BTHT (%)</t>
  </si>
  <si>
    <t>Hệ số điều chỉnh</t>
  </si>
  <si>
    <t>Thành tiền
(đồng)</t>
  </si>
  <si>
    <t>(1)</t>
  </si>
  <si>
    <t>(3)</t>
  </si>
  <si>
    <t>5</t>
  </si>
  <si>
    <t>6</t>
  </si>
  <si>
    <t>7</t>
  </si>
  <si>
    <t>8</t>
  </si>
  <si>
    <t>9</t>
  </si>
  <si>
    <t>10=6*7*8*9</t>
  </si>
  <si>
    <t>PHƯỜNG PHÚ THƯỢNG</t>
  </si>
  <si>
    <r>
      <t>m</t>
    </r>
    <r>
      <rPr>
        <vertAlign val="superscript"/>
        <sz val="14"/>
        <color indexed="8"/>
        <rFont val="Times New Roman"/>
        <family val="1"/>
      </rPr>
      <t>2</t>
    </r>
  </si>
  <si>
    <t>QĐ 65 - PL02 - XIII.1.2</t>
  </si>
  <si>
    <r>
      <t>m</t>
    </r>
    <r>
      <rPr>
        <vertAlign val="superscript"/>
        <sz val="14"/>
        <color indexed="8"/>
        <rFont val="Times New Roman"/>
        <family val="1"/>
      </rPr>
      <t>3</t>
    </r>
  </si>
  <si>
    <t>QĐ 65 - PL 02 - XIII.3.3</t>
  </si>
  <si>
    <t>QĐ 65 - PL 02 - IV.1.3</t>
  </si>
  <si>
    <t>QĐ 65 - PL 01 - 6.2</t>
  </si>
  <si>
    <t>QĐ 65 - PL 02 - XIV.5</t>
  </si>
  <si>
    <t>QĐ 65 - PL 02-XIV.4</t>
  </si>
  <si>
    <t>QĐ 65 - PL 02 - XI.9</t>
  </si>
  <si>
    <t>QĐ 65; PL1; 1-3.1b</t>
  </si>
  <si>
    <t>QĐ 65 - PL 02 - XIV.2</t>
  </si>
  <si>
    <t>QĐ 65 - PL2 - XIV-3</t>
  </si>
  <si>
    <t>cây</t>
  </si>
  <si>
    <t>QĐ 11 - II.22</t>
  </si>
  <si>
    <t>Trụ am vừa: 1 cái</t>
  </si>
  <si>
    <t>QĐ 65 - PL 02I - X.2.2</t>
  </si>
  <si>
    <t>cái</t>
  </si>
  <si>
    <t>Di chuyển chậu cây cảnh: 14 chậu vừa</t>
  </si>
  <si>
    <t>QĐ 11 - PL B -IV.2</t>
  </si>
  <si>
    <t>chậu</t>
  </si>
  <si>
    <t>Di chuyển đồng hồ nước: 6m</t>
  </si>
  <si>
    <t>QĐ 65; PL2; VII-1.1</t>
  </si>
  <si>
    <t>m</t>
  </si>
  <si>
    <t>Di chuyển điện: 6m</t>
  </si>
  <si>
    <t>QĐ 65; PL2; VII-2.1</t>
  </si>
  <si>
    <t>QĐ 65 - PL 02 - XIII.3.1</t>
  </si>
  <si>
    <t>Cây cau h&gt;10m: 2 cây</t>
  </si>
  <si>
    <t>Di chuyển chậu cây cảnh: 2 chậu vừa</t>
  </si>
  <si>
    <t>QĐ 65 - PL 02 - IV.2.3</t>
  </si>
  <si>
    <t>QĐ 65 - PL 01; 6.16</t>
  </si>
  <si>
    <t>236.000</t>
  </si>
  <si>
    <t>QĐ 65; PL1; 6-18</t>
  </si>
  <si>
    <t>QĐ 65 - PL 02 - XIX</t>
  </si>
  <si>
    <t>QĐ 65 - PL 02 - XIII.3.2</t>
  </si>
  <si>
    <t>Cây mưng d=20cm: 1 cây</t>
  </si>
  <si>
    <t>QĐ 11 -B IV.1</t>
  </si>
  <si>
    <t>QĐ 11 -B II.4</t>
  </si>
  <si>
    <t>139+141</t>
  </si>
  <si>
    <t>Diện tích đất bị thu hồi: 53,3+35,0</t>
  </si>
  <si>
    <t>Nhà cấp IV, nhà móng BT; cột BTCT; tường chịu lực xây gạch; mái tôn; nền lát gạch; không có khu phụ. 
DT =5,4*7,2+7*8,3</t>
  </si>
  <si>
    <t>QĐ 65; PL1; 3.2b</t>
  </si>
  <si>
    <t>Cửa cuốn: DT =2,5*3</t>
  </si>
  <si>
    <t>Ốp men tường: DT =7*0,8+3*2,8</t>
  </si>
  <si>
    <t>QĐ 65 - PL 01 - 6.3</t>
  </si>
  <si>
    <t>Laphong nhựa: DT =8,1*6,7</t>
  </si>
  <si>
    <t>QĐ 65 - PL 01 - 6.18</t>
  </si>
  <si>
    <t>Sân xi măng vỉa hè: DT =8,5*12,3</t>
  </si>
  <si>
    <t>Be BTCT: KT =1,05*5,4*0,2</t>
  </si>
  <si>
    <t>Bảng hiệu Alu: DT =5,6*1,2</t>
  </si>
  <si>
    <t>Di chuyển đồng hồ nước: 5m</t>
  </si>
  <si>
    <t>Di chuyển đồng hồ điện: 5m</t>
  </si>
  <si>
    <t>143</t>
  </si>
  <si>
    <r>
      <t xml:space="preserve">Trần Văn Vũ - Nguyễn Thị Tho. 8/24 Ngõ 1 kiệt 228 Bạch Đằng - Gia Hội. 0775504922
</t>
    </r>
    <r>
      <rPr>
        <sz val="14"/>
        <color indexed="8"/>
        <rFont val="Times New Roman"/>
        <family val="1"/>
      </rPr>
      <t>*Thửa 33, TBĐ 02</t>
    </r>
  </si>
  <si>
    <t>Diện tích đất bị thu hồi: 43,1</t>
  </si>
  <si>
    <t>Sân xi măng vỉa hè: DT =5,5*5,5</t>
  </si>
  <si>
    <t>Nền gạch Tezzaro: DT =4,5*5,5</t>
  </si>
  <si>
    <t>Ốp nhôm, kính: DT =6,85*3,5</t>
  </si>
  <si>
    <t>QĐ 65 - PL 01
6.15</t>
  </si>
  <si>
    <t>Nhà cấp IV, không có khu phụ, nền gạch men, nhà móng BT, cột BTCT, tường chịu lực xây bờ lô, mái tôn: 
DT =5,8*3,8</t>
  </si>
  <si>
    <t>Di chuyển điện: 5m</t>
  </si>
  <si>
    <t>Di chuyển đường ống nhựa d&lt;40: 5m</t>
  </si>
  <si>
    <t>13</t>
  </si>
  <si>
    <t>QĐ 65; PL1; 3.3b</t>
  </si>
  <si>
    <t>Chậu</t>
  </si>
  <si>
    <t>QĐ 65; PL1; 2.2a</t>
  </si>
  <si>
    <t>QĐ 65; PL2; XIII-1.2</t>
  </si>
  <si>
    <t>QĐ 65 - PL02 - XIV.6</t>
  </si>
  <si>
    <t>QĐ 65 - PL 02 - XI.3</t>
  </si>
  <si>
    <r>
      <rPr>
        <sz val="14"/>
        <color indexed="8"/>
        <rFont val="Times New Roman"/>
        <family val="1"/>
      </rPr>
      <t>m</t>
    </r>
    <r>
      <rPr>
        <vertAlign val="superscript"/>
        <sz val="14"/>
        <color indexed="8"/>
        <rFont val="Times New Roman"/>
        <family val="1"/>
      </rPr>
      <t>2</t>
    </r>
  </si>
  <si>
    <t>QĐ 11 -B III.2</t>
  </si>
  <si>
    <t>QĐ 65 - PL 02 - XVIII</t>
  </si>
  <si>
    <t>QĐ 11, B-IV.1</t>
  </si>
  <si>
    <t>QĐ 65- PL01- 7.10</t>
  </si>
  <si>
    <t>Di chuyển Internet: 1 thuê bao</t>
  </si>
  <si>
    <t>QĐ 65 - PL 02 - VII.3.1</t>
  </si>
  <si>
    <t>thuê bao</t>
  </si>
  <si>
    <t>15</t>
  </si>
  <si>
    <t>QĐ 11 -B II.14</t>
  </si>
  <si>
    <t>QĐ 65 - PL 01- 6.3</t>
  </si>
  <si>
    <t>QĐ 11 -B II.13</t>
  </si>
  <si>
    <t>18</t>
  </si>
  <si>
    <t>QĐ 11 -B II.8</t>
  </si>
  <si>
    <t>QĐ 11 - B II.6</t>
  </si>
  <si>
    <t>23</t>
  </si>
  <si>
    <t>PL2; XIV-5;
QĐ 65</t>
  </si>
  <si>
    <t>Di chuyển chậu d=20-50cm: 10 chậu</t>
  </si>
  <si>
    <t>QĐ 11
 B-IV.1</t>
  </si>
  <si>
    <t>Di chuyển ống nhựa d&lt;40: 10m</t>
  </si>
  <si>
    <t>Di chuyển điện: 10m</t>
  </si>
  <si>
    <t xml:space="preserve">QĐ 06; QĐ 80 </t>
  </si>
  <si>
    <t>QĐ 65; PL1; 3.1b</t>
  </si>
  <si>
    <t>Di chuyển điện: 8,5m</t>
  </si>
  <si>
    <t>Di chuyển đồng hồ nước: 8,5m</t>
  </si>
  <si>
    <t>35</t>
  </si>
  <si>
    <r>
      <t xml:space="preserve">Huỳnh A - Phạm Thị Huệ. 82 Bạch Đằng, Phường Gia Hội. 0766789068
</t>
    </r>
    <r>
      <rPr>
        <i/>
        <sz val="14"/>
        <color indexed="8"/>
        <rFont val="Times New Roman"/>
        <family val="1"/>
      </rPr>
      <t>* Thửa 48, TBĐ 03</t>
    </r>
  </si>
  <si>
    <t>Nhà cấp IV: nhà móng BTCT kết hợp xây gạch đá, mái tôn, nền lát gạch, không có khu phụ: DT =7,8*8,75</t>
  </si>
  <si>
    <t>Laphong thạch cao: DT =7,6*8,55</t>
  </si>
  <si>
    <t>Ốp men tường: DT =8,75*1,5+3,35*1,5+2,3*1,5</t>
  </si>
  <si>
    <t>Ốp men bếp: DT =1,7*1,5+2,4*4,4+3,2*1,2</t>
  </si>
  <si>
    <t>Ốp đá granit: DT =1,2*0,5</t>
  </si>
  <si>
    <t>Bảng hiệu quảng cáo có đèn: DT =7,8*2,4+(0,8*1,2)*2</t>
  </si>
  <si>
    <t>Sân xi măng vỉa hè: DT =7,8*6</t>
  </si>
  <si>
    <t>Bậc cấp xây bờ lô: KT =(7,8*0,15*0,3)*2</t>
  </si>
  <si>
    <t>Ốp đá granit bậc cấp: DT =7,8*1</t>
  </si>
  <si>
    <t>Cửa cuốn: DT =7,6*2,8</t>
  </si>
  <si>
    <t>Ốp Alu: DT =(0,2*2,7)*3+2,6*1,1+1,1*22,7*7,8+2,2*1,2</t>
  </si>
  <si>
    <t>Bảng hiệu tôn: DT =1,2*2,7</t>
  </si>
  <si>
    <t>Hàng rào xây bờ lô kín: DT =4,2*0,35</t>
  </si>
  <si>
    <t>Ốp men tường: DT =7,1*0,3</t>
  </si>
  <si>
    <t>40</t>
  </si>
  <si>
    <r>
      <t xml:space="preserve">Châu khắc Tý - Mai Thị Ngọc Dung. 259 Phạm Văn Đồng, phường Phú Thượng. 0943342555
* </t>
    </r>
    <r>
      <rPr>
        <sz val="14"/>
        <color indexed="8"/>
        <rFont val="Times New Roman"/>
        <family val="1"/>
      </rPr>
      <t>Thửa 42, TBĐ 03</t>
    </r>
  </si>
  <si>
    <t>Nhà cấp IV, nhà móng BTCT kết hợp xây gạch đá, cột BTCT, tường gạch, mái tôn, nền lát gạch, không có khu phụ: DT =6,6*5,1</t>
  </si>
  <si>
    <t>Nhà cấp III, 1 tầng, nhà khung BTCT chịu lực, móng BTCT, tường gạch, sàn BTCT, nền lát gạch: 
DT =13,2*3,9+4,8*0,6+8,6*4,2</t>
  </si>
  <si>
    <t>QĐ 65; PL1; 2.1a</t>
  </si>
  <si>
    <t>Laphong nhựa: DT =4,75*10,2</t>
  </si>
  <si>
    <t>Sân xi măng vỉa hè: DT =5,1*5,1</t>
  </si>
  <si>
    <t>Biển hiệu có hộp đèn: DT =5,1*1,2</t>
  </si>
  <si>
    <t>Cửa cuốn: DT =2,4*3+4,8*3</t>
  </si>
  <si>
    <t>Bàng d=15cm: 1 cây</t>
  </si>
  <si>
    <t>Di chuyển nước: 10m</t>
  </si>
  <si>
    <t>42.1</t>
  </si>
  <si>
    <r>
      <t xml:space="preserve">Châu khắc Tý - Mai Thị Ngọc Dung. Lại Thế, Phú Thượng. 0776679471
</t>
    </r>
    <r>
      <rPr>
        <sz val="14"/>
        <color indexed="8"/>
        <rFont val="Times New Roman"/>
        <family val="1"/>
      </rPr>
      <t>*Thửa 40, TBĐ 03</t>
    </r>
  </si>
  <si>
    <t>Nhà cấp IV, nhà móng BT; cột BTCT; tường chịu lực xây gạch; mái tôn; nền lát gạch; không có khu phụ. 
DT =2,3*5,2+3*2,65+2,15*6,1</t>
  </si>
  <si>
    <t>Nhà cấp IV, nhà móng BT; cột BTCT; tường chịu lực xây gạch; mái tôn; nền lát gỗ; không có khu phụ: 
DT =3,2*7,1+2,65*0,7</t>
  </si>
  <si>
    <t>Nhà cấp IV, nhà móng BT; cột BTCT; tường chịu lực xây gạch; mái tôn; nền xi măng, có khu phụ: 
DT =4,55*3,6</t>
  </si>
  <si>
    <t>QĐ 65; PL1; 3.1a</t>
  </si>
  <si>
    <t>Sân lát gạch Tezzaro: DT =9,6*4+3,3*2,4</t>
  </si>
  <si>
    <t>Sân xi măng vỉa hè: DT =10,2*5,35</t>
  </si>
  <si>
    <t>Bậc cấp xây bờ lô: KT =(0,35*0,1*2,5)*2+(0,35*0,1*1,35)*2</t>
  </si>
  <si>
    <t>Ốp đá granit: DT =0,9*2,5+0,9*1,35</t>
  </si>
  <si>
    <t>Be BTCT: KT =6,85*0,9*0,05+6,85*1,35*0,15+2,5*1,1*0,15+2,3*1,2*0,15+1*0,4*0,1</t>
  </si>
  <si>
    <t>Bảng hiệu quảng cáo có đèn: DT =3,2*2,2</t>
  </si>
  <si>
    <t>Ốp alu: DT =3,2*1,8</t>
  </si>
  <si>
    <t>Ốp đá tường: DT =(8*4)*3</t>
  </si>
  <si>
    <t>Ốp men: DT =8,5*1,2+5,3*1,2</t>
  </si>
  <si>
    <t>Khung sắt hỗn hợp: DT =4,4*4</t>
  </si>
  <si>
    <t>Di chuyển chậu cây: 7 chậu</t>
  </si>
  <si>
    <t>Di chuyển ống nước: 10m</t>
  </si>
  <si>
    <t>QĐ 65 - PL 02
XIII.3.6</t>
  </si>
  <si>
    <t>Cửa sắt ống: DT =2,3*2,6</t>
  </si>
  <si>
    <t>QĐ 11 - B III.43</t>
  </si>
  <si>
    <t>QĐ 11 - B III.4</t>
  </si>
  <si>
    <t>Cây bàng d=50cm: 1 cây</t>
  </si>
  <si>
    <t>Di chuyển điện: 6,5m</t>
  </si>
  <si>
    <t>57</t>
  </si>
  <si>
    <r>
      <t xml:space="preserve">Ngô Nhật Đức. TDP Lại Thế 1, phường Phú Thượng, Tp Huế. 0934787117
</t>
    </r>
    <r>
      <rPr>
        <sz val="14"/>
        <color indexed="8"/>
        <rFont val="Times New Roman"/>
        <family val="1"/>
      </rPr>
      <t>* Thửa 24, TBĐ 03</t>
    </r>
  </si>
  <si>
    <t>Diện tích đất bị thu hồi: 33,7</t>
  </si>
  <si>
    <t>Nhà cấp IV, nhà móng BT, cột BTCT, tường chịu lực xây gạch, mái tôn, không có khu phụ, nền xi măng (trừ 99.000đ chênh lệch nền gạch): DT =9,3*6</t>
  </si>
  <si>
    <t>Sân xi măng vỉa hè: DT =3,2*6</t>
  </si>
  <si>
    <t>Nền gạch Terazo vỉa hè: DT =2,4*6</t>
  </si>
  <si>
    <t>Be BTCT: KT =6*0,6*0,15</t>
  </si>
  <si>
    <t>Di chuyển đường ống nước nhựa d=40cm: 10m</t>
  </si>
  <si>
    <t>61</t>
  </si>
  <si>
    <r>
      <t xml:space="preserve">Trần Thị Thanh - Hoàng Dũng. 9/56 Thái Phiên, Tây Lộc, Tp Huế. 0943454774
</t>
    </r>
    <r>
      <rPr>
        <sz val="14"/>
        <color indexed="8"/>
        <rFont val="Times New Roman"/>
        <family val="1"/>
      </rPr>
      <t>*Thửa 20, TBĐ 03</t>
    </r>
  </si>
  <si>
    <t>Diện tích đất bị thu hồi: 36,8</t>
  </si>
  <si>
    <t>Nhà cấp IV, móng BTCT, cột BTCT, tường chịu lực xây gạch, mái tôn, nền lát gạch:
DT =10,8*5,1</t>
  </si>
  <si>
    <t>Laphong thạch cao: DT =9,5*4,8</t>
  </si>
  <si>
    <t>Ốp men tường: DT =(10,3*3,1)*2</t>
  </si>
  <si>
    <t>Bảng hiệu quảng cáo Alu: DT =1,5*4,8+4,7*5,1+(1,2*3)*2</t>
  </si>
  <si>
    <t>Nền lát gạch Tezzaro vỉa hè: DT =2,6*5,1</t>
  </si>
  <si>
    <t>Sân xi măng vỉa hè: DT =2,8*5,1</t>
  </si>
  <si>
    <t>Di chuyển đồng hồ nước: 8m</t>
  </si>
  <si>
    <t>Di chuyển điện: 8m</t>
  </si>
  <si>
    <t>Di chuyển đồng hồ nước: 7m</t>
  </si>
  <si>
    <t>Di chuyển điện: 7m</t>
  </si>
  <si>
    <t>Di chuyển điện: 5,5m</t>
  </si>
  <si>
    <t>78</t>
  </si>
  <si>
    <r>
      <t xml:space="preserve">Hồ Văn Quốc - Lê Thị Sung. 70 Bến Nghé, Phú Hội, Huế. 0913453914
</t>
    </r>
    <r>
      <rPr>
        <sz val="14"/>
        <color indexed="8"/>
        <rFont val="Times New Roman"/>
        <family val="1"/>
      </rPr>
      <t>* Thửa 03, TBĐ 03</t>
    </r>
  </si>
  <si>
    <t>Diện tích đất bị thu hồi: 59,0</t>
  </si>
  <si>
    <t>Trụ cổng BTCT: KT =(0,5*0,5*2,75)*2</t>
  </si>
  <si>
    <t>Cửa sắt hộp: DT =2,4*3,2</t>
  </si>
  <si>
    <t>Trụ BTCT: KT =2,4*3,2</t>
  </si>
  <si>
    <t>Hàng rào xây bờ lô kín: 
DT =7,65*1,35+4,1*1,35+1,7*1,35</t>
  </si>
  <si>
    <t>Hàng rào xây bờ lô lam thoáng: 
DT =2,5*1,8</t>
  </si>
  <si>
    <t>Ốp tôn: DT =7,85*0,9</t>
  </si>
  <si>
    <t>Hàng rào sắt hộp: DT =5,8*0,9</t>
  </si>
  <si>
    <t>Bậc cấp xây bờ lô: KT =(4,75*0,12*0,35)*3</t>
  </si>
  <si>
    <t>Ốp gạch men bậc cấp: DT =(4,75*0,47)*3</t>
  </si>
  <si>
    <t>Sân xi măng vỉa hè: DT =4,4*4,9</t>
  </si>
  <si>
    <t>Ngũ gia bì: 3 cây</t>
  </si>
  <si>
    <t>Cây cau h=10m: 1 cây</t>
  </si>
  <si>
    <t>Cây sưa d=30cm: 1 cây</t>
  </si>
  <si>
    <t>QĐ 11, B-III.25b</t>
  </si>
  <si>
    <t>Cửa sắt hỗn hợp: DT =1,8*1,8</t>
  </si>
  <si>
    <t>QĐ 65 - PL 02 - XIII.3.5</t>
  </si>
  <si>
    <t>Di chuyển chậu cây cảnh: 5 chậu vừa</t>
  </si>
  <si>
    <t>Cây hoàng yến d=30cm: 1 cây</t>
  </si>
  <si>
    <t>Di chuyển dồng hồ nước: 7,5m</t>
  </si>
  <si>
    <t>Di chuyển điện: 7,5m</t>
  </si>
  <si>
    <t>Bảng hiệu tôn: DT =2,5*1,5</t>
  </si>
  <si>
    <t>16</t>
  </si>
  <si>
    <r>
      <t xml:space="preserve">Lê Văn Toàn - Huỳnh Thị Quế. 24/16 Hai Bà Trưng, Vĩnh Ninh. 0983468419
</t>
    </r>
    <r>
      <rPr>
        <sz val="14"/>
        <color indexed="8"/>
        <rFont val="Times New Roman"/>
        <family val="1"/>
      </rPr>
      <t>* Thửa 67, TBĐ 03</t>
    </r>
  </si>
  <si>
    <t>Diện tích đất bị thu hồi: 47,9</t>
  </si>
  <si>
    <t>Nhà cấp IV, nhà móng BTCT kết hợp xây gạch đá, cột BTCT, tường gạch, mái tôn, nền lát gạch, không có khu phụ: DT =3,8*5,9</t>
  </si>
  <si>
    <t>Sân xi măng vỉa hè: DT =5,9*4,7</t>
  </si>
  <si>
    <t>Sân xi măng: DT =5*5,7</t>
  </si>
  <si>
    <t>Cửa sắt hộp: DT =5,1*3</t>
  </si>
  <si>
    <t>Khung sắt hộp: DT =5,1*1,4+(1,6*0,8)*2</t>
  </si>
  <si>
    <t>Ốp Alu: DT =(1,6*0,8)*2+0,8*5,9</t>
  </si>
  <si>
    <t>Ốp tôn: DT =0,5*5,1+(3,2*4,5)*2</t>
  </si>
  <si>
    <t>Hàng rào xây bờ lô kín: DT =(4,5*1,7)*2</t>
  </si>
  <si>
    <t>Ốp gỗ: DT =(1,5*4,5)*2</t>
  </si>
  <si>
    <t>QĐ 65 - PL 01- 6.14</t>
  </si>
  <si>
    <t>Trụ cổng BTCT: KT =(0,3*0,5*3)*2</t>
  </si>
  <si>
    <t>Khung sắt hộp bạt kéo: DT =5,7*2,25</t>
  </si>
  <si>
    <t>Ốp nhựa: DT =3,5*5,6+(3,5*1,5)*2+2*5</t>
  </si>
  <si>
    <t>Laphong thạch cao: DT =1,5*5,6</t>
  </si>
  <si>
    <t>Bảng hiệu quảng cáo có đèn: DT =5,9*3,4</t>
  </si>
  <si>
    <t>19</t>
  </si>
  <si>
    <r>
      <t xml:space="preserve">Huỳnh Minh Trung - Nguyễn Thị Minh Tra. 3 Lê Duẫn, phường Thuận Hòa, Tp Huế. 0903588551
</t>
    </r>
    <r>
      <rPr>
        <sz val="14"/>
        <color indexed="8"/>
        <rFont val="Times New Roman"/>
        <family val="1"/>
      </rPr>
      <t>* Thửa 64, TBĐ 03</t>
    </r>
  </si>
  <si>
    <t>Diện tích đất bị thu hồi: 53,4</t>
  </si>
  <si>
    <t>Nhà cấp IV, nhà móng BTCT kết hợp xây gạch đá. Tường gạch, mái tôn, nền lát gạch, không có khu phụ: DT =12,1*6,3</t>
  </si>
  <si>
    <t>Laphong nhựa: DT =11,7*6,1</t>
  </si>
  <si>
    <t>Ốp Alu: DT =19,9*3,05+6,1*0,5+2,5*3,05</t>
  </si>
  <si>
    <t>Lát gạch Tezzaro vỉa hè: DT =4,2*6,3</t>
  </si>
  <si>
    <t>Cửa cuốn: DT =5,75*3,05</t>
  </si>
  <si>
    <t>Bảng hiệu có quảng cáo đèn: DT =3,1*6,3</t>
  </si>
  <si>
    <t>Di chuyển dồng hồ nước: 9,5m</t>
  </si>
  <si>
    <t>Di chuyển điện: 9,5m</t>
  </si>
  <si>
    <t>25</t>
  </si>
  <si>
    <r>
      <t xml:space="preserve">Nguyễn Duyên - Nguyễn Thị Tâm. TDP Lại Thế 1, phường Phú Thượng, Tp Huế. 0905848428
</t>
    </r>
    <r>
      <rPr>
        <sz val="14"/>
        <color indexed="8"/>
        <rFont val="Times New Roman"/>
        <family val="1"/>
      </rPr>
      <t>* Thửa 58, TBĐ 03</t>
    </r>
  </si>
  <si>
    <t>Diện tích đất bị thu hồi: 67,2</t>
  </si>
  <si>
    <t>Nhà cấp III (2 tầng) nhà khung BTCT chịu lực, móng BTCT, tường gạch, sàn BTCT, phía trên lợp tôn, nền lát gạch: 
DT =6,6*3,3</t>
  </si>
  <si>
    <t>Ban công liền nhà: DT =1,3*3,3+0,7*3,3</t>
  </si>
  <si>
    <t>Nền lát gạch men: DT =8*6</t>
  </si>
  <si>
    <t>Hàng rào xây bờ lô kín: 
DT =11*0,5+11*1,1+1,8*1,1+2,2*0,5+5,9*0,5</t>
  </si>
  <si>
    <t>Ốp men hàng rào: DT =26,2*0,15</t>
  </si>
  <si>
    <t>Hàng rào sắt hộp: DT =18,3*2+3,5*0,9</t>
  </si>
  <si>
    <t>Ốp đá: DT =3,7*0,25+1,8*0,25</t>
  </si>
  <si>
    <t>Trụ BTCT: KT =(0,45*0,45*2,6)*2</t>
  </si>
  <si>
    <t>Ốp men trụ: DT =(0,45*2)*8</t>
  </si>
  <si>
    <t>Cửa sắt hộp: DT =2,8*2</t>
  </si>
  <si>
    <t>Khung sắt hộp: DT =5,2*2,6+3,5*0,6+(1,2*2,4)*2</t>
  </si>
  <si>
    <t>Bảng hiệu quảng cáo có đèn: DT =(4,8*0,3)*2+0,6*0,8</t>
  </si>
  <si>
    <t>Cây mưng d=30-50cm: 2 cây</t>
  </si>
  <si>
    <t>Di chuyện chậu cây cảnh: 17 chậu</t>
  </si>
  <si>
    <t>Cây cảnh trồng trên đất: 5m2</t>
  </si>
  <si>
    <t>Nền lát gạch Tezzaro vỉa hè: DT =8*5,5</t>
  </si>
  <si>
    <t>Cây bông giấy d=3-5cm: 10 cây</t>
  </si>
  <si>
    <t>Hàng rào xây bờ lô lam thoáng: DT =14,8*0,8</t>
  </si>
  <si>
    <t>Lát men sàn BTCT: DT =8,4*3,2</t>
  </si>
  <si>
    <t>Cây cau h&gt;10m: 3 cây</t>
  </si>
  <si>
    <t>Nhà cấp IV, nhà móng BT, cột BTCT, tường chịu lực xây gạch, mái tôn, nền lát gạch: 
DT =6,55*8,3+3,85*8,2+3,95*8,8</t>
  </si>
  <si>
    <t>Nhà cấp IV, nhà móng BT, cột BTCT, tường chịu lực xây gạch, mái tôn, nền xi măng (trừ 99.000đ chênh lệch nền gạch): 
DT =4,2*8,75+4,8*8,75</t>
  </si>
  <si>
    <t>Gác lửng gỗ: DT =3,55*6,45+2,6*3,75</t>
  </si>
  <si>
    <t>Laphong nhựa: DT =6,35*8,5+8,1*3,6</t>
  </si>
  <si>
    <t>Laphong tôn: DT =7,9*3,65</t>
  </si>
  <si>
    <t>Nền lát gạch tezzaro: DT =7*6,4</t>
  </si>
  <si>
    <t>Sân xi măng vỉa hè: DT =7*17</t>
  </si>
  <si>
    <t>Bảng hiệu quảng cáo có đèn: DT =0,6*0,8+0,85*1,2</t>
  </si>
  <si>
    <t>Bảng hiệu tôn: DT =6*1,2+(4*1,2)*2+1*3</t>
  </si>
  <si>
    <t>Lan can gỗ: DT =5,75*0,7</t>
  </si>
  <si>
    <t>Bảng hiệu tôn: DT =4,3*0,8+4*0,6+(4*1,2)*3</t>
  </si>
  <si>
    <t>Cây mưng d=30-50cm: 3 cây</t>
  </si>
  <si>
    <t>89</t>
  </si>
  <si>
    <t>Laphong nhựa: DT =6,1*4,9</t>
  </si>
  <si>
    <t>Lambri: DT =(6,5*0,9)*2</t>
  </si>
  <si>
    <t>Mái che, khung bê tông, mái đổ bê tông: DT =3,9*0,7</t>
  </si>
  <si>
    <r>
      <t>Cửa sắt hộp</t>
    </r>
    <r>
      <rPr>
        <sz val="14"/>
        <rFont val="Times New Roman"/>
        <family val="1"/>
      </rPr>
      <t>: DT =2,4*2,6</t>
    </r>
  </si>
  <si>
    <t>Ốp đá tại cổng: DT =(0,4*2,2)*6</t>
  </si>
  <si>
    <t>Hàng rào xây bờ lô kín: DT =1,4*2,6+(1,1*3,4)*2</t>
  </si>
  <si>
    <t>Khung sắt hộp: DT =1,2*0,6+3,9*0,5</t>
  </si>
  <si>
    <t>Nền lát gạch: DT =1,3*4,9</t>
  </si>
  <si>
    <t>Sân xi măng vỉa hè: DT =3,7*5,2</t>
  </si>
  <si>
    <t>Sân lát gạch tezzaro vỉa hè: DT =3*5,2</t>
  </si>
  <si>
    <t>Cây bằng lăng d=15cm: 1 cây</t>
  </si>
  <si>
    <t>Di chyển đồng hồ nước: 6m</t>
  </si>
  <si>
    <t>90+92+94+96</t>
  </si>
  <si>
    <t>Hàng rào xây bờ lô kín: DT =(4,1*0,95)*2</t>
  </si>
  <si>
    <t>Hàng rào sắt hộp: DT =(4,8*0,8)*2+26,3*1,3+(3,3*2,2)*2</t>
  </si>
  <si>
    <t>Bảng hiệu tôn: DT =(6,1*2)*2</t>
  </si>
  <si>
    <t>Di chuyển chậu cây cảnh: 4 chậu lớn</t>
  </si>
  <si>
    <t>Di chuyển chậu cây cảnh: 4 chậu vừa</t>
  </si>
  <si>
    <t>Trụ BTCT: KT =(0,25*0,25*1,75)*2</t>
  </si>
  <si>
    <t>Sân xi măng: DT =5,2*26,3</t>
  </si>
  <si>
    <t>Sân xi măng vỉa hè: DT =7*26,3</t>
  </si>
  <si>
    <t>105</t>
  </si>
  <si>
    <t>Nhà cấp IV, nhà móng BT, cột BTCT, tường chịu lực xây gạch, mái tôn, nền lát gạch, không có khu phụ: DT =8,1*7,6</t>
  </si>
  <si>
    <t>Mái tôn, đỡ sắt, trụ sắt: DT =5,5*8,1</t>
  </si>
  <si>
    <t>Sân xi măng: DT =5,5*8,1</t>
  </si>
  <si>
    <t>Sân xi măng vỉa hè: DT =4,2*8,1</t>
  </si>
  <si>
    <t>Cây bằng lăng d=20cm: 1 cây</t>
  </si>
  <si>
    <t>Di chuyển đường ống nhựa d&lt;40cm: 6m</t>
  </si>
  <si>
    <t>108</t>
  </si>
  <si>
    <t>Trụ BTCT: KT =(0,6*0,6*4)*2</t>
  </si>
  <si>
    <t>Ốp đá trụ cổng: DT =(0,6*2,5)*8</t>
  </si>
  <si>
    <t>QĐ 65; PL2; IV-1.3</t>
  </si>
  <si>
    <t>Khối BTCT: KT =(3,4*0,2*0,1)*2</t>
  </si>
  <si>
    <t>Hàng rào xây bờ lô kín: DT =2,45*4,6+(1,55*5)*2+3,1*0,5</t>
  </si>
  <si>
    <t>Hàng rào sắt hộp: DT =0,7*4,6+(5,5*1,2)*2</t>
  </si>
  <si>
    <t>Cửa sắt hộp: DT =2,5*3,2</t>
  </si>
  <si>
    <t>Trụ BTCT: KT =(2,3*0,25*0,25)*6</t>
  </si>
  <si>
    <t>Ốp men: DT =3,1*0,65</t>
  </si>
  <si>
    <t>Nền lát gạch tezzaro: DT =5,7*8,6</t>
  </si>
  <si>
    <t>Sân lát gạch tezzaro vỉa hè: DT =6,9*9,3</t>
  </si>
  <si>
    <t>Cây cảnh trồng trên đất: 3m2</t>
  </si>
  <si>
    <t>Di chuyển chậu cây cảnh: 12 chậu lớn</t>
  </si>
  <si>
    <t>Di chuyển chậu cây cảnh: 15 chậu vừa</t>
  </si>
  <si>
    <t>Trụ am vừa: 2 cái</t>
  </si>
  <si>
    <t>Khung sắt hộp: DT =0,3*3,4+5,7*1,4</t>
  </si>
  <si>
    <t>Khung sắt hỗn hợp: DT =5,5*2,5</t>
  </si>
  <si>
    <t>110</t>
  </si>
  <si>
    <t>Trụ cổng BTCT: KT =0,5*0,5*2,3</t>
  </si>
  <si>
    <t>Cửa sắt hỗn hợp: DT =2,2*2,3</t>
  </si>
  <si>
    <t>Hàng rào xây bờ lô kín: 
DT =0,8*2,2+1,9*0,3+4,6*1,2+4,6*0,4</t>
  </si>
  <si>
    <t>Hàng rào B40: DT =7,4*1</t>
  </si>
  <si>
    <t>Trụ BTCT: KT =(0,2*0,2*1,7)*3</t>
  </si>
  <si>
    <t>Sân xi măng: DT =5,3*6,6</t>
  </si>
  <si>
    <t>Sân xi măng vỉa hè: DT =7*6,8</t>
  </si>
  <si>
    <t>Máng tôn xối nước: DT =0,4*6,6</t>
  </si>
  <si>
    <t>Di chuyển chậu to: 6 chậu</t>
  </si>
  <si>
    <t>Di chuyển chậu vừa: 35 chậu</t>
  </si>
  <si>
    <t>Rau muống: DT =1*2</t>
  </si>
  <si>
    <t>Di chuyển đường ống nước d&lt;40cm: 6m</t>
  </si>
  <si>
    <t>126</t>
  </si>
  <si>
    <t>Nền xi măng: DT =5,4*4</t>
  </si>
  <si>
    <t>Ốp tôn: DT =8,1*5,3+8,1*1,5+1,4*4</t>
  </si>
  <si>
    <t>Sân xi măng vỉa hè: DT =4*7</t>
  </si>
  <si>
    <t>Cửa sắt hỗn hợp: DT =4*4</t>
  </si>
  <si>
    <t>Di chuyển đồng hồ nước: 5,5m</t>
  </si>
  <si>
    <t>129</t>
  </si>
  <si>
    <t>Trụ BTCT: KT =(0,5*0,5*2,7)*2</t>
  </si>
  <si>
    <t>Ốp men trụ: DT =(0,5*2,1)*8+(0,85*0,6)*2</t>
  </si>
  <si>
    <t>Trụ BTCT: KT =(0,25*0,25*2,2)*4</t>
  </si>
  <si>
    <t>Sân xi măng vỉa hè: DT =7,1*4</t>
  </si>
  <si>
    <t>Hàng rào lam thoáng: DT =(5*2)*2</t>
  </si>
  <si>
    <t>Cây mai vàng d=15cm: 3 cây</t>
  </si>
  <si>
    <t>Di chuyển chậu cây cảnh: 21 chậu vừa</t>
  </si>
  <si>
    <t>Khung sắt ống: DT =5,7*3,7</t>
  </si>
  <si>
    <t>136</t>
  </si>
  <si>
    <t>Khung sắt hộp: DT =2,2*2+7,5*5</t>
  </si>
  <si>
    <t>Nền xi măng: DT =12*5,2</t>
  </si>
  <si>
    <t>Sân xi măng vỉa hè: DT =12*7,2</t>
  </si>
  <si>
    <t>Cây bàng d=30cm: 2 cây</t>
  </si>
  <si>
    <t>142</t>
  </si>
  <si>
    <t>Trụ cổng BTCT: KT =(1,4*0,9*5,1)*2</t>
  </si>
  <si>
    <t>Mái che khung bê tông, mái đổ bê tông: DT =7*1,8</t>
  </si>
  <si>
    <t>Cửa sắt ống: DT =5,3*2,8</t>
  </si>
  <si>
    <t>Trụ BTCT: KT =(0,35*0,35*1,3)*2</t>
  </si>
  <si>
    <t>Hàng rào xây bờ lô kín: DT =(2*0,7)*2+(4,1*2,8)*2</t>
  </si>
  <si>
    <t>Be BTCT: KT =(2,8*0,5*0,35)*2</t>
  </si>
  <si>
    <t>Ốp đá tường: DT =3,2*2,8</t>
  </si>
  <si>
    <t>Nền lát đá: DT =5,1*4,2</t>
  </si>
  <si>
    <t>Sân lát gạch tezzaro vỉa hè: DT =9,2*5,2</t>
  </si>
  <si>
    <t>Cây mưng d=30cm: 2 cây</t>
  </si>
  <si>
    <t>Hàng rào đá xây kín không có khe thoáng: 
DT =(4,9*0,4)*2+(1,5*1,2)*2</t>
  </si>
  <si>
    <t>Di chuyển đồng hồ nước: 3m</t>
  </si>
  <si>
    <t>Di chuyển điện: 3m</t>
  </si>
  <si>
    <t>Hồ có non bộ cao dưới 1,6m xây đá chẻ dày 150mm chứa nước nuôi cá cảnh: DT =1,5*1,5 + 1 non bộ</t>
  </si>
  <si>
    <t>150</t>
  </si>
  <si>
    <t>Nền xi măng: DT =5,5*3,6</t>
  </si>
  <si>
    <t>Cửa sắt kéo: DT =3,6*2,8</t>
  </si>
  <si>
    <t>Khung sắt hộp: DT =3,6*0,5</t>
  </si>
  <si>
    <t>Hàng rào xây bờ lô kín: 
DT =8,4*3,7+3,5*1,6+6,8*1,2+1,4*3,7</t>
  </si>
  <si>
    <t>Sân xi măng vỉa hè: DT =6,7*4,05</t>
  </si>
  <si>
    <t>Xối tôn: DT =5,5*0,3</t>
  </si>
  <si>
    <t>Bậc cấp xây bờ lô: KT =2,4*0,3*0,1</t>
  </si>
  <si>
    <t>52</t>
  </si>
  <si>
    <t>Nhà cấp IV, nhà móng BTCT kết hợp xây gạch đá, cột BTCT, tường gạch, mái tôn, nền lát gạch, không có khu phụ:
DT =7,7*27,3</t>
  </si>
  <si>
    <t>Cây phượng d=50cm: 1 cây</t>
  </si>
  <si>
    <t>Laphong tôn: DT =14*7,7+14*2,1</t>
  </si>
  <si>
    <t>Cây mưng d=10cm: 3 cây</t>
  </si>
  <si>
    <t>Laphong nhựa: DT =(5,8*3,1)*3</t>
  </si>
  <si>
    <t>Laphong thạch cao: DT =14*7,7</t>
  </si>
  <si>
    <t>Khung sắt hộp: DT =14*5</t>
  </si>
  <si>
    <t>Ốp Alu: DT =(7,7*3)*4+(1,6*3)*4+10,9*1</t>
  </si>
  <si>
    <t>B40: DT =4,3*3</t>
  </si>
  <si>
    <t>Bảng hiệu nhựa: DT =(3,1*1,5)*3+3,1*1,2</t>
  </si>
  <si>
    <t>Hộp quảng cáo có đèn: DT =14*2,4</t>
  </si>
  <si>
    <t>Nền xi măng vỉa hè: DT =27,3*6</t>
  </si>
  <si>
    <t>Be BTCT: KT =7,7*0,6*0,15+(1,5*0,6*0,05)*2</t>
  </si>
  <si>
    <t>Cửa cuốn: DT =4,3*2,5+3*2,5</t>
  </si>
  <si>
    <t>Laphong thạch cao: DT =4,7*3,75</t>
  </si>
  <si>
    <t>Ốp men tường nhà: DT =(6*2,1)*2</t>
  </si>
  <si>
    <t>Mái che tôn thông dụng, trụ sắt, đỡ sắt: DT =1,1*4,05</t>
  </si>
  <si>
    <t>Sân Terrazo: DT =4,2*4</t>
  </si>
  <si>
    <t>Sân terrazo vỉa hè: DT =1,2*4</t>
  </si>
  <si>
    <t>Sân bê tông xỉ trên vỉa hè: DT =1,1*4</t>
  </si>
  <si>
    <t>Cây bằng lăng d=2,5cm: 1 cây</t>
  </si>
  <si>
    <t>Cây mai vàng lá xanh d=2-5cm: 1 cây</t>
  </si>
  <si>
    <t>Bậc cấp xây gạch: KT =(0,95*0,2*0,25)*6</t>
  </si>
  <si>
    <t>Ốp đá granit bậc thang: DT =(0,95*0,2)*10+(0,45*0,4)*2</t>
  </si>
  <si>
    <t>Biển quảng cáo tôn: DT =0,95*0,6</t>
  </si>
  <si>
    <t>Hoa trồng trên đất: 50 cây</t>
  </si>
  <si>
    <t>Di chuyển đường ống nhựa d&lt;40m: 7m</t>
  </si>
  <si>
    <t>Di chuyển đường dây điện: 7m</t>
  </si>
  <si>
    <t>Trần thạch cao: DT =8,4*3,9</t>
  </si>
  <si>
    <t>Ốp men bếp: DT =0,9*1,1+0,9*2,1</t>
  </si>
  <si>
    <t>Ốp đá granit bếp: DT =(1,4*3,5)*2</t>
  </si>
  <si>
    <t>Be đúc BTCT: KT =(0,5*8,7*0,05)</t>
  </si>
  <si>
    <t>Bàng d=2-5cm: 1 cây</t>
  </si>
  <si>
    <t>Bằng lăng d=2cm: 1 cây</t>
  </si>
  <si>
    <t>Laphong tôn: DT =(6,7*4,8)*2</t>
  </si>
  <si>
    <t>Ốp men bếp: DT =2,6*12,5</t>
  </si>
  <si>
    <t>Ốp men nhà vệ sinh: DT =3,4*16,25</t>
  </si>
  <si>
    <t>Lambri men: DT =0,5*3</t>
  </si>
  <si>
    <t>Tường xây bờ lô kín: DT =3*2,5</t>
  </si>
  <si>
    <t>Sân bê tông xỉ vỉa hè: DT =4,9*3,97</t>
  </si>
  <si>
    <t>Nền gạch men dưới mái tôn: DT =4,8*2,85</t>
  </si>
  <si>
    <t>Di chuyển đường nhựa nước d&lt;40cm: 10m</t>
  </si>
  <si>
    <t>Nhà cấp IV, nhà móng BTCT kết hợp xây gạch đá, cột BTCT, tường gạch, mái tôn, nền lát gạch, có khu phụ: 
DT =7,1*5,1+3,6*1,3</t>
  </si>
  <si>
    <t>Nhà cấp IV, nhà móng BTCT kết hợp xây gạch đá, cột BTCT, tường gạch, mái tôn, nền lát gỗ, có khu phụ: 
DT =7*5,1+3,6*1,3</t>
  </si>
  <si>
    <t>Laphong nhựa: DT =6,8*4,9</t>
  </si>
  <si>
    <t>Be BTCT: KT =5,4*0,9*0,15+(3,6*1,3*0,15)*2</t>
  </si>
  <si>
    <t>Ốp men: DT =8,6*1,7+3,8*1,1+1,9*0,9</t>
  </si>
  <si>
    <t>Ốp đá granit: DT =2*0,6</t>
  </si>
  <si>
    <t>Be BTCT: KT =4,8*0,6*0,15+3,5*0,7*0,15</t>
  </si>
  <si>
    <t>Nền lát gạch: DT =2,3*5,1</t>
  </si>
  <si>
    <t>Nền xi măng vỉa hè: DT =4,1*5,1</t>
  </si>
  <si>
    <t>Di chuyển đồng hồ nước: 10m</t>
  </si>
  <si>
    <t>Cây bồ đề d=50cm: 1 cây</t>
  </si>
  <si>
    <t>Nhà cấp IV, nhà móng BT, cột BTCT, tường chịu lực xây gạch, mái tôn, nền lát gạch, có khu phụ: DT =7,2*5</t>
  </si>
  <si>
    <t>QĐ 65; PL1; 3.2a</t>
  </si>
  <si>
    <t>Gác lửng: DT =3,7*5</t>
  </si>
  <si>
    <t>Be BTCT: KT =0,6*4,7*0,15</t>
  </si>
  <si>
    <t>Ốp gạch men tường: DT =(11*1,2)*3+6,5*1,1</t>
  </si>
  <si>
    <t>Ốp men bếp, nhà vệ sinh: 
DT =8,4*1,7+(0,5*0,7)*8+5,5*1,9</t>
  </si>
  <si>
    <t>Laphong tôn: DT =7*4,7</t>
  </si>
  <si>
    <t>Lan can gỗ: DT =2,8*1,1</t>
  </si>
  <si>
    <t>QĐ 65 - PL 01 - 6.14</t>
  </si>
  <si>
    <t>Ốp đá granit: DT =3,4*0,6</t>
  </si>
  <si>
    <t>Nền lát gạch tezzaro: DT =5*2,4</t>
  </si>
  <si>
    <t>B40: DT =3*5+2,6*1,5</t>
  </si>
  <si>
    <t>Hàng rào xây bờ lô kín: DT =2,6*1,2</t>
  </si>
  <si>
    <t>Xối inox: DT =(5*0,4)*2</t>
  </si>
  <si>
    <t>Ốp tôn tường chống thấm: DT =5*4,7+(3,7*2,5)*2</t>
  </si>
  <si>
    <t>Nhà cấp IV, nhà móng BT, cột BTCT, tường chịu lực xây gạch, mái tôn, nền lát gạch, có khu phụ: DT =5*7,2</t>
  </si>
  <si>
    <t>Be BTCT: KT =(4,7*0,6*0,15)</t>
  </si>
  <si>
    <t>Sân xi măng vỉa hè: DT =4,1*5</t>
  </si>
  <si>
    <t>Nền xi măng: DT =2,8*5</t>
  </si>
  <si>
    <t>Cửa sắt kéo: DT =2,4*5</t>
  </si>
  <si>
    <t>Khung sắt hộp: DT =5*0,6</t>
  </si>
  <si>
    <t>Nhà cấp IV, nhà móng BT, cột BTCT, tường chịu lực xây gạch, mái tôn, nền lát gạch, có khu phụ: DT =9,4*5</t>
  </si>
  <si>
    <t>Laphong nhựa: DT =4,7*5,9</t>
  </si>
  <si>
    <t>Laphong Alu: DT =4,7*3,3</t>
  </si>
  <si>
    <t>Ốp men bếp, nhà vệ sinh: DT =2*0,4+3,5*1</t>
  </si>
  <si>
    <t>Nền xi măng vỉa hè: DT =4,1*5</t>
  </si>
  <si>
    <t>Bảng hiệu quảng cáo có đèn: DT =4,17*5</t>
  </si>
  <si>
    <t>Bảng hiệu Alu: DT =(1,2*2,2)*2</t>
  </si>
  <si>
    <t>Cây bằng lăng d=30cm: 1 cây</t>
  </si>
  <si>
    <t>Nhà cấp IV, nhà móng BT, cột BTCT, tường chịu lực xây gạch, mái tôn, nền lát gạch, có khu phụ: DT =8,5*5</t>
  </si>
  <si>
    <t>Laphong tôn: DT =6,8*4,7</t>
  </si>
  <si>
    <t>Laphong nhựa: DT =4,1*4,7</t>
  </si>
  <si>
    <t>Ốp men: DT =4*0,75</t>
  </si>
  <si>
    <t>Nền lát gạch men: DT =1,3*4,7</t>
  </si>
  <si>
    <t>Xối tôn: DT =5*0,4</t>
  </si>
  <si>
    <t>Hàng rào xây bờ lô kín: DT =1,3*1,1+1,3*0,8</t>
  </si>
  <si>
    <t>Bảng hiệu quảng cáo có đèn: DT =1,4*0,8</t>
  </si>
  <si>
    <t>Ốp tôn: DT =4,7*0,8</t>
  </si>
  <si>
    <t>09</t>
  </si>
  <si>
    <t>QĐ 65; PL1; 3.3a</t>
  </si>
  <si>
    <t>39B</t>
  </si>
  <si>
    <r>
      <t xml:space="preserve">Lê Văn Thành - Đào Thị Thái. 61 Nguyễn Khoa Vy, phường Vỹ Dạ, Tp Huế. 0935534537
</t>
    </r>
    <r>
      <rPr>
        <sz val="14"/>
        <color indexed="8"/>
        <rFont val="Times New Roman"/>
        <family val="1"/>
      </rPr>
      <t>* Thửa 86, TBĐ 03</t>
    </r>
  </si>
  <si>
    <t>Nhà cấp IV, không có khu phụ, nền xi măng, nhà móng xây gạch, tường gạch, mái tôn: DT =9,7*8,8</t>
  </si>
  <si>
    <t>Vách ngăn thạch cao: DT =11,4*3,5</t>
  </si>
  <si>
    <t>Nền xi măng vỉa hè: DT =9,7*6,5</t>
  </si>
  <si>
    <t>Nền lát gạch men: DT =9,7*8,8</t>
  </si>
  <si>
    <t>Bảng hiệu ốp tôn: DT =9*1,2+2,5*1,4</t>
  </si>
  <si>
    <t>Bảng hiệu ốp nhựa: DT =9,7*1,8+(1,5*2,4)*2</t>
  </si>
  <si>
    <t>47</t>
  </si>
  <si>
    <t>Nhà cấp IV, không có khu phụ, nhà móng BTCT kết hợp xây gạch đá, cột BTCT, tường bờ lô, mái tôn, nền gạch men: 
DT =13*6,1</t>
  </si>
  <si>
    <t>Laphong thạch cao: DT =13*5,7</t>
  </si>
  <si>
    <t>Sân xi măng vỉa hè: DT =5*6,1</t>
  </si>
  <si>
    <t>Bảng hiệu quảng cáo có đèn: DT =3,4*6,1+0,6*0,5</t>
  </si>
  <si>
    <t>Bậc cấp xây bờ lô: KT =6,1*0,45*0,15</t>
  </si>
  <si>
    <t>Ốp men: DT =6,1*0,45</t>
  </si>
  <si>
    <t>Mái đúc BTCT: KT =6,1*1,3*0,3</t>
  </si>
  <si>
    <t>Cây bàng d=10cm: 1 cây</t>
  </si>
  <si>
    <t>Ốp tôn: DT =5,7*1+6,5*1,4</t>
  </si>
  <si>
    <t>75</t>
  </si>
  <si>
    <t>Trụ cổng BTCT: KT =(0,6*0,6*2,8)*2</t>
  </si>
  <si>
    <t>Cửa sắt ống: DT =2,4*2,5</t>
  </si>
  <si>
    <t>Hàng rào xây bờ lô kín: 
DT =16,8*1,2+(4,8*0,3)*2+(2,8*0,3)*2</t>
  </si>
  <si>
    <t>Hàng rào sắt ống: DT =16,8*1,1</t>
  </si>
  <si>
    <t>Khung sắt ống: DT =4,8*7,8</t>
  </si>
  <si>
    <t>Sân xi măng: DT =5,3*7,4</t>
  </si>
  <si>
    <t>Sân gạch terazzo: DT =2,4*1</t>
  </si>
  <si>
    <t>Sân xi măng vỉa hè: DT =6,4*7,8</t>
  </si>
  <si>
    <t>Cây hoa sữa d=40cm: 2 cây</t>
  </si>
  <si>
    <t>Di chuyển chậu cây cảnh: 5 chậu lớn</t>
  </si>
  <si>
    <t>Di chuyển chậu cây cảnh: 10 chậu vừa</t>
  </si>
  <si>
    <t>Trụ BTCT: KT =(0,22*0,22*2,5)*6</t>
  </si>
  <si>
    <t>Cây tường vi d=10cm: 1 cây</t>
  </si>
  <si>
    <t>Cây đinh lăng d=5-7cm: 1 cây</t>
  </si>
  <si>
    <t>B40: DT =5*1,5</t>
  </si>
  <si>
    <t>81</t>
  </si>
  <si>
    <t>Trụ BTCT: KT =(0,7*0,7*3,55)*2</t>
  </si>
  <si>
    <t>Cửa sắt hộp: DT =3,35*2,8</t>
  </si>
  <si>
    <t>Mái che trụ BTCT, khung gỗ, mái ngói: 
DT =2*5,5+5,5*1,6</t>
  </si>
  <si>
    <t>Trụ BTCT: KT =(0,35*0,35*2,8)*11</t>
  </si>
  <si>
    <t>Hàng rào gạch đá xây kín không có khe thoáng: DT =5,85*1,05+3*1,7+6,45*1,05+3,7*1,7+6,2*1,4+5,25*1,75+6,9*0,25+(7,5*0,25)*2+(7,25*0,25)*4+7,25*2,9+(5,3*0,4)*2+19,6*0,3</t>
  </si>
  <si>
    <t>Khối BTCT: KT =6,9*0,55*0,1+6,9*0,3*0,05+7,5*0,55*0,1+7,5*0,3*0,05+(7,25*0,55*0,1)*2+(7,25*0,3*0,05)*2</t>
  </si>
  <si>
    <t>Ốp đá tường: DT =(0,6*7,8)*2+(8,4*0,6)*2+(7,25*0,6)*2</t>
  </si>
  <si>
    <t>Hồ có non bộ cao từ 1,6m trở lên xây gạch dày 110mm chứa nước nuôi cá cảnh: DT =4,2*4,2</t>
  </si>
  <si>
    <t>Hòn non bộ cao dưới 1,6m: 1 hòn</t>
  </si>
  <si>
    <t>Cây đại lộc d=0,95m: 1 cây</t>
  </si>
  <si>
    <t>Hàng rào sắt hộp: DT =(3,4*1,3)*5+0,8*1</t>
  </si>
  <si>
    <t>Lưới B40: DT =(3,4*1,3)*5</t>
  </si>
  <si>
    <t>Cây mai vàng d=55cm: 1 cây</t>
  </si>
  <si>
    <t>Cây tường vi d=25cm: 2 cây</t>
  </si>
  <si>
    <t>Cây nguyệt quế d=10cm: 1 cây</t>
  </si>
  <si>
    <t>Di chuyển chậu cây cảnh: 14 chậu lớn</t>
  </si>
  <si>
    <t>Di chuyển chậu cây cảnh: 22 chậu vừa</t>
  </si>
  <si>
    <t>30</t>
  </si>
  <si>
    <r>
      <t xml:space="preserve">Mai Văn Hóa - Nguyễn Thị Như Hảo. 239 Phạm Văn Đồng. 0914042337
</t>
    </r>
    <r>
      <rPr>
        <sz val="14"/>
        <color indexed="8"/>
        <rFont val="Times New Roman"/>
        <family val="1"/>
      </rPr>
      <t>* Thửa 84, TBĐ 03</t>
    </r>
  </si>
  <si>
    <t xml:space="preserve">Diện tích đất bị thu hồi: 24,6 </t>
  </si>
  <si>
    <t>Sân bê tông vỉa hè: DT =7,3*4,6</t>
  </si>
  <si>
    <t>Ốp men ceramic vỉa hè: DT =4,6*0,25</t>
  </si>
  <si>
    <t>Tường xây bờ lô kín: DT =5,3*1,8</t>
  </si>
  <si>
    <t>Ốp men tường: DT =0,95*1,8+1,8*0,95</t>
  </si>
  <si>
    <t>Ốp men nền: DT =0,9*5,3+3,4*0,8</t>
  </si>
  <si>
    <t>Laphong thạch cao dưới mái tôn: DT =0,9*5,3</t>
  </si>
  <si>
    <t>Di chuyển chậu d=50-70cm: 1 chậu</t>
  </si>
  <si>
    <t>Cửa cuốn (3x3): DT =5,5*4,6</t>
  </si>
  <si>
    <t>Nhà tạm, trụ BTCT, tường xây gạch, che chắn gương+nhôm, mái tôn, nền gạch men (cộng 99000 chênh lệch nền gạch men): DT =5,3*3,5</t>
  </si>
  <si>
    <t>QĐ 65; PL1; 4.1</t>
  </si>
  <si>
    <t>Cây lộc vừng d=2-5cm: 2 cây</t>
  </si>
  <si>
    <t>Ốp tôn tường: DT =2*5</t>
  </si>
  <si>
    <t>Di chuyển ống thép d&lt;40cm: 10m</t>
  </si>
  <si>
    <t>Thạch cao ốp tường+ trần: DT =8,4*3,4+8,4*2,5</t>
  </si>
  <si>
    <t>Biển quảng cáo có hộp đèn: DT =4,6*2,4</t>
  </si>
  <si>
    <t>Biển quảng cáo alu: DT =4,6*1,2</t>
  </si>
  <si>
    <t>31</t>
  </si>
  <si>
    <t xml:space="preserve">Diện tích đất bị thu hồi: 67,8 </t>
  </si>
  <si>
    <t>Nhà 2 tầng, trụ sắt, khung sắt, tường tấm dura 2 lớp + kính chịu lực, sàn dura, mái tôn:
DTT1 =10,45*11,5
DTT2 =10,4*10,85</t>
  </si>
  <si>
    <r>
      <t>m</t>
    </r>
    <r>
      <rPr>
        <vertAlign val="superscript"/>
        <sz val="14"/>
        <color indexed="10"/>
        <rFont val="Times New Roman"/>
        <family val="1"/>
      </rPr>
      <t>2</t>
    </r>
  </si>
  <si>
    <t>Yêu cầu có ảnh chụp hiện trạng để xác định lại kết cấu</t>
  </si>
  <si>
    <t>Laphong thạch cao: DT =10,65*10,3+5*11,7</t>
  </si>
  <si>
    <t>Nền lát đá granit: 
DT =4*0,9+12,6*0,2+3,4*0,6+7*0,6+4,4*1,2</t>
  </si>
  <si>
    <t>Nền gạch men: DT =5*11,7</t>
  </si>
  <si>
    <t>Nền xi măng: DT =5,1*12,3</t>
  </si>
  <si>
    <t>Sàn vách nhựa: DT =10,65*10,3</t>
  </si>
  <si>
    <t>Bảng hiệu quảng cáo có đèn: DT =4*0,8+10,85*2+7,5*0,6</t>
  </si>
  <si>
    <t>Laphong gỗ: DT =4,6*2,8</t>
  </si>
  <si>
    <t>Vách ngăn gỗ: DT =12,35*3,5+12,75*3,5+13,2*3,5+5,9*1,4+5*2,8+3,7*1,4</t>
  </si>
  <si>
    <t>Ốp alu: DT =5,2*1</t>
  </si>
  <si>
    <t>Ốp tôn chống thấm: DT =10,4*2+7,5*3,1+7,5*3+5,1*0,6</t>
  </si>
  <si>
    <t>Sân xi măng vỉa hè: DT =6,2*12,5</t>
  </si>
  <si>
    <t>Cây mưng d=50cm: 2 cây</t>
  </si>
  <si>
    <t>QĐ 65 - PL 02 - IV.2.1</t>
  </si>
  <si>
    <t>69</t>
  </si>
  <si>
    <r>
      <t xml:space="preserve">Trần Vũ Trọng (Đại diện Kê Khai). Tổ 5, KV3, phường Vỹ Dạ, Tp Huế. 0917832787 - 0935010291
</t>
    </r>
    <r>
      <rPr>
        <sz val="14"/>
        <color indexed="8"/>
        <rFont val="Times New Roman"/>
        <family val="1"/>
      </rPr>
      <t>* Thửa 12, TBĐ 03</t>
    </r>
  </si>
  <si>
    <t xml:space="preserve">Diện tích đất bị thu hồi: 47,4 </t>
  </si>
  <si>
    <t>Nhà cấp IV, nhà móng BT, cột BTCT, tường chịu lực xây gạch, mái tôn, nền xi măng, không có khu phụ:
DT =9,2*6</t>
  </si>
  <si>
    <t>Cửa sắt hộp: DT =4,5*4,3</t>
  </si>
  <si>
    <t>Laphong tôn: DT =9,2*5,8</t>
  </si>
  <si>
    <t>Tường nhôm kính: DT =7,9*3</t>
  </si>
  <si>
    <t>Nền gạch men: DT =4,5*2</t>
  </si>
  <si>
    <t>Laphong nhựa: DT =4,1*1,8</t>
  </si>
  <si>
    <t>Bảng hiệu quảng cáo có đèn: DT =6*2,4</t>
  </si>
  <si>
    <t>Sân xi măng vỉa hè: DT =6*6</t>
  </si>
  <si>
    <t>83</t>
  </si>
  <si>
    <t>sai số ở trong công văn từ 82 đổi thành 83</t>
  </si>
  <si>
    <t xml:space="preserve">Diện tích đất bị thu hồi: 61,5 </t>
  </si>
  <si>
    <t>Khung sắt hộp: DT =15,6*6</t>
  </si>
  <si>
    <t>Nền xi măng: DT =(5,3*15,6)-(5*5,2)-(5,2*0,3)*2</t>
  </si>
  <si>
    <t>Ốp tôn: DT =5,35*2,5</t>
  </si>
  <si>
    <t>Ốp thạch cao: DT =5,1*4,9</t>
  </si>
  <si>
    <t>Sân xi măng vỉa hè: DT =6,9*15,6</t>
  </si>
  <si>
    <t>Khối BTCT: KT =(5,2*0,8*0,3)*2</t>
  </si>
  <si>
    <t>Nền bê tông: DT =5*5,2+1,1*1,1</t>
  </si>
  <si>
    <t>85</t>
  </si>
  <si>
    <r>
      <t xml:space="preserve">Lê Thị Cúc. 103 Phạm Văn Đồng. 0914974216
</t>
    </r>
    <r>
      <rPr>
        <sz val="14"/>
        <color indexed="8"/>
        <rFont val="Times New Roman"/>
        <family val="1"/>
      </rPr>
      <t>* Thửa 93, TBĐ 02</t>
    </r>
  </si>
  <si>
    <t xml:space="preserve">Diện tích đất bị thu hồi: 54,8 </t>
  </si>
  <si>
    <t>Cửa sắt kéo: DT =9,6*4</t>
  </si>
  <si>
    <t>Khung sắt hộp: DT =1,5*9,6</t>
  </si>
  <si>
    <t>Nền xi măng vỉa hè: DT =9,6*7,6</t>
  </si>
  <si>
    <t>Nền lát gạch men: DT =5*9,6</t>
  </si>
  <si>
    <t>Ốp tôn: DT =(5*4,5)*2</t>
  </si>
  <si>
    <t>132</t>
  </si>
  <si>
    <t xml:space="preserve">Diện tích đất bị thu hồi: 92,0 </t>
  </si>
  <si>
    <t>Trụ BTCT: KT =(0,6*0,6*3)*2</t>
  </si>
  <si>
    <t>Cửa sắt hộp: DT =5,2*2,4</t>
  </si>
  <si>
    <t>Sân lát gạch terrazo vỉa hè: DT =6*15,8</t>
  </si>
  <si>
    <t>Cây liễu d=30-50cm: 1 cây</t>
  </si>
  <si>
    <t>Khung sắt hộp: DT =(5,2*0,3)*4</t>
  </si>
  <si>
    <t>Di chuyển chậu cây: 5 chậu lớn</t>
  </si>
  <si>
    <t>Di chuyển chậu cây: 12 chậu vừa</t>
  </si>
  <si>
    <t>Di chuyển chậu cây: 20 chậu nhỏ</t>
  </si>
  <si>
    <t>Sân lát gạch tezzaro vỉa hè: DT =6,7*5,7</t>
  </si>
  <si>
    <t>Trụ BTCT: KT =(0,35*0,35*2,5)*5</t>
  </si>
  <si>
    <t>Sân xi măng vỉa hè: DT =6,7*10,1</t>
  </si>
  <si>
    <t>Ốp đá granit: DT =1,1*3,4</t>
  </si>
  <si>
    <t>Cây tùng d=10cm: 3 cây</t>
  </si>
  <si>
    <t>Cây sung d=20cm: 1 cây</t>
  </si>
  <si>
    <t>Cây cau h&gt;10m: 1 cây</t>
  </si>
  <si>
    <t>B40: DT =6*1,8</t>
  </si>
  <si>
    <t>Mái che tôn, trụ sắt, đỡ sắt: DT =3*2</t>
  </si>
  <si>
    <t xml:space="preserve">Di chuyển chậu lớn: 2 chậu </t>
  </si>
  <si>
    <t>161+163+164</t>
  </si>
  <si>
    <t>Nền xi măng: DT =5,25*12</t>
  </si>
  <si>
    <t>Laphong tôn: DT =7,5*12,8</t>
  </si>
  <si>
    <t>Ốp tôn: DT =(7,5*4,2)*2+0,5*12,3</t>
  </si>
  <si>
    <t>Cửa cuốn: DT =11,5*4,2</t>
  </si>
  <si>
    <t>Sân xi măng vỉa hè: DT =12,3*6,8</t>
  </si>
  <si>
    <t>Bảng hiệu nhựa: 
DT =(1*2,5)*2+(0,6*2,5)*2+8,4*1,2+3,8*0,6</t>
  </si>
  <si>
    <t>Cây mưng d=40cm: 1 cây</t>
  </si>
  <si>
    <t>Cây mít d=5cm-7cm: 1 cây</t>
  </si>
  <si>
    <t>Hàng rào xây bờ lô kín: DT =7,1*0,9</t>
  </si>
  <si>
    <t>Khung nhôm kính: DT =8,4*2,1</t>
  </si>
  <si>
    <t>Bảng hiệu tôn: DT =3*12</t>
  </si>
  <si>
    <t>Cây xoài d=50cm: 1 cây</t>
  </si>
  <si>
    <t>Di chuyển chậu vừa: 7 chậu</t>
  </si>
  <si>
    <t>Cây thần tài d=5-7cm: 1 cây</t>
  </si>
  <si>
    <t>168</t>
  </si>
  <si>
    <r>
      <t xml:space="preserve">Dương Văn Hòa - Đinh Thị Đào. Phú Hồ, Phú Vang, TT Huế. 0935039995
</t>
    </r>
    <r>
      <rPr>
        <sz val="14"/>
        <color indexed="8"/>
        <rFont val="Times New Roman"/>
        <family val="1"/>
      </rPr>
      <t>* Thửa 08, TBĐ 02</t>
    </r>
  </si>
  <si>
    <t xml:space="preserve">Diện tích đất bị thu hồi: 37,1 </t>
  </si>
  <si>
    <t>Trụ cổng BTCT: KT =(0,55*0,55*2,4)*2</t>
  </si>
  <si>
    <t>Mái che khung bê tông, mái đổ bê tông: DT =3,4*0,85</t>
  </si>
  <si>
    <t>Hàng rào xây bờ lô kín: DT =0,9*1,8+4,9*0,55</t>
  </si>
  <si>
    <t>B40: DT =0,9*1,2+4,9*1,2</t>
  </si>
  <si>
    <t>Sân xi măng vỉa hè: DT =7,5*6,2</t>
  </si>
  <si>
    <t>Nhà cấp IV, nhà móng BT, cột BTCT, tường chịu lực xây gạch, mái tôn, nền xi măng, không có khu phụ: DT =4*3,6</t>
  </si>
  <si>
    <t>Cửa sắt ống: DT =2,1*1,6</t>
  </si>
  <si>
    <t>Cây mưng d=50-70cm: 1 cây</t>
  </si>
  <si>
    <t>Cây cau h&gt;10m: 2cây</t>
  </si>
  <si>
    <t>174</t>
  </si>
  <si>
    <r>
      <t xml:space="preserve">Phạm Văn Sinh - Ngô Thị Hồng. Lại Thế 1, Phú Thượng, Huế. 0903500766
</t>
    </r>
    <r>
      <rPr>
        <sz val="14"/>
        <color indexed="8"/>
        <rFont val="Times New Roman"/>
        <family val="1"/>
      </rPr>
      <t>* Thửa 44, TBĐ 01</t>
    </r>
  </si>
  <si>
    <t xml:space="preserve">Diện tích đất bị thu hồi: 42,7 </t>
  </si>
  <si>
    <t>Nền xi măng bê tông: DT =13,1*5</t>
  </si>
  <si>
    <t>Sân xi măng vỉa hè: DT =13,1*8</t>
  </si>
  <si>
    <t>Bảng hiệu quảng cáo tôn: DT =5*2,5</t>
  </si>
  <si>
    <t>175</t>
  </si>
  <si>
    <r>
      <t xml:space="preserve">Trần Ngọc Bình - Nguyễn Thị Tuyết. 217 Bờ Sông Hương, phường Gia Hội, Tp Huế. 0935931669
</t>
    </r>
    <r>
      <rPr>
        <sz val="14"/>
        <color indexed="8"/>
        <rFont val="Times New Roman"/>
        <family val="1"/>
      </rPr>
      <t>* Thửa 05, TBĐ 01</t>
    </r>
  </si>
  <si>
    <t xml:space="preserve">Diện tích đất bị thu hồi: 34,5 </t>
  </si>
  <si>
    <t>Nền lát gạch men: DT =5*3,9</t>
  </si>
  <si>
    <t>Laphong nhựa: DT =4,2*4,8</t>
  </si>
  <si>
    <t>Cửa cuốn: DT =4,5*3</t>
  </si>
  <si>
    <t>Hàng rào xây bờ lô kín: 
DT =1,2*3,7+6,7*3,5+1,4*3,5+3,65*0,2</t>
  </si>
  <si>
    <t>Khung sắt hộp: DT =2,1*3,7</t>
  </si>
  <si>
    <t>Sân lát gạch tezzaro vỉa hè: DT =5*8,3</t>
  </si>
  <si>
    <t>Cây mưng d=15cm: 2 cây</t>
  </si>
  <si>
    <t>Ốp gạch men tường: DT =(5,1*0,15)*2</t>
  </si>
  <si>
    <t>176</t>
  </si>
  <si>
    <r>
      <t xml:space="preserve">Hồ Văn Đức - Hồ Minh Định. Phú An, Phú Vang, TT Huế. 0906550989
</t>
    </r>
    <r>
      <rPr>
        <sz val="14"/>
        <color indexed="8"/>
        <rFont val="Times New Roman"/>
        <family val="1"/>
      </rPr>
      <t>* Thửa 06, TBĐ 01</t>
    </r>
  </si>
  <si>
    <t xml:space="preserve">Diện tích đất bị thu hồi: 19,7 </t>
  </si>
  <si>
    <t>Nền xi măng: DT =5*4,3</t>
  </si>
  <si>
    <t>Sân xi măng vỉa hè: DT =8,3*5</t>
  </si>
  <si>
    <t>Bảng hiệu quảng cáo có đèn: DT =0,6*0,8</t>
  </si>
  <si>
    <t>Bảng hiệu tôn: DT =4,9*2</t>
  </si>
  <si>
    <t>182</t>
  </si>
  <si>
    <r>
      <t xml:space="preserve">Lê Văn Minh Đức - Trần Thị Chinh Chiến. 135 Phan Đình Phùng, Phú Nhuận, Huế. 0903585628
</t>
    </r>
    <r>
      <rPr>
        <sz val="14"/>
        <color indexed="8"/>
        <rFont val="Times New Roman"/>
        <family val="1"/>
      </rPr>
      <t>* Thửa 13, TBĐ 01</t>
    </r>
  </si>
  <si>
    <t>Diện tích đất bị thu hồi: 32,1</t>
  </si>
  <si>
    <t>Cửa sắt cuốn: DT =4,75*4+3,4*4</t>
  </si>
  <si>
    <t>Ốp tôn: DT =(3,4*4)*2</t>
  </si>
  <si>
    <t>Nền lát gạch men: DT =3,4*3,4</t>
  </si>
  <si>
    <t>Nền xi măng: DT =6,2*3,4</t>
  </si>
  <si>
    <t>Sân xi măng vỉa hè: DT =9,6*8,5</t>
  </si>
  <si>
    <t>162A+B</t>
  </si>
  <si>
    <r>
      <t xml:space="preserve">Trần Hữu Phước (Đại diện kê khai). 21 Nguyễn Bỉnh Khiêm, phường Gia Hội. 0905251020
</t>
    </r>
    <r>
      <rPr>
        <sz val="14"/>
        <color indexed="8"/>
        <rFont val="Times New Roman"/>
        <family val="1"/>
      </rPr>
      <t>* Thửa 14, TBĐ 02</t>
    </r>
  </si>
  <si>
    <t>Diện tích đất bị thu hồi: 88,1</t>
  </si>
  <si>
    <t>Sân xi măng bê tông: DT =27*13</t>
  </si>
  <si>
    <t>Bảng hiệu tôn: DT =3*2</t>
  </si>
  <si>
    <t>Bảng hiệu quảng cáo có đèn: DT =0,5*0,5+0,5*1</t>
  </si>
  <si>
    <t>Cây liễu d=5-10cm: 3 cây</t>
  </si>
  <si>
    <t>PHƯỜNG VỸ DẠ</t>
  </si>
  <si>
    <t>3.1</t>
  </si>
  <si>
    <r>
      <t xml:space="preserve">Nguyễn Văn Cần - Lê Thị Lệ Chi. 215 Phạm Văn Đồng, phường Vỹ Dạ, Huế. 0914454004
</t>
    </r>
    <r>
      <rPr>
        <sz val="14"/>
        <color indexed="8"/>
        <rFont val="Times New Roman"/>
        <family val="1"/>
      </rPr>
      <t>*Thửa 06, TBĐ 01</t>
    </r>
  </si>
  <si>
    <t>Phần tài sản xây dựng trên đất của ông Nguyễn Văn Tuấn</t>
  </si>
  <si>
    <t>Nhà cấp IV, nhà móng BT, cột BTCT, tường chịu lực xây gạch, mái tôn, nền lát gạch, không có khu phụ: 
DT =4,2*9,2</t>
  </si>
  <si>
    <t>Laphong nhựa: DT =4*8,9</t>
  </si>
  <si>
    <t>Laphong tôn: DT =6,9*3,9</t>
  </si>
  <si>
    <t>Gác lửng gỗ: DT =7*4,1</t>
  </si>
  <si>
    <t>Be BTCT: KT =4,1*2,1*0,15</t>
  </si>
  <si>
    <t>Lan can gỗ: DT =1,8*1+2,3*0,4</t>
  </si>
  <si>
    <t>Cửa sắt kéo: DT =3,8*2,4</t>
  </si>
  <si>
    <t>Ốp men tường: DT =(2,2*0,8)*2+4,2*0,2+19,5*0,15</t>
  </si>
  <si>
    <t>Ốp men bếp, nhà vệ sinh: 
DT =3*1,4+4*1,75+0,5*0,8+5*2,2</t>
  </si>
  <si>
    <t>Nền xi măng vỉa hè: DT =5,1*4,2</t>
  </si>
  <si>
    <t>Di chuyển chậu cây cảnh: 6 chậu vừa</t>
  </si>
  <si>
    <t>Di chuyển chậu cây cảnh: 21 chậu nhỏ</t>
  </si>
  <si>
    <t>Internet: 1 thuê bao</t>
  </si>
  <si>
    <t>3.2</t>
  </si>
  <si>
    <t>Phần tài sản xây dựng trên đất của UBND phường quản lý (thửa 10, TBĐ 01)</t>
  </si>
  <si>
    <t>Cửa sắt hỗn hợp: DT =1,3*2,4</t>
  </si>
  <si>
    <t>Trụ BTCT: DT =0,1*0,1*2,7</t>
  </si>
  <si>
    <t>Trụ am lớn: 1 cái</t>
  </si>
  <si>
    <t>Nền xi măng: DT =3,3*6</t>
  </si>
  <si>
    <t>Phần tài sản xây dựng trên đất của UBND phường quản lý (thửa 11,12; TBĐ 01)</t>
  </si>
  <si>
    <t>Nền xi măng: DT =8,7*6,4</t>
  </si>
  <si>
    <t>Cửa sắt hỗn hợp: DT =2,6*2,4</t>
  </si>
  <si>
    <t>B40: DT =2,8*1,8+(8,7*1,8)*2</t>
  </si>
  <si>
    <t>Hàng rào xây bờ lô thoáng: DT =(8,7*1,1)*2</t>
  </si>
  <si>
    <t>Ốp tôn: DT =8,7*1,4+6,4*1,4</t>
  </si>
  <si>
    <t>3.3</t>
  </si>
  <si>
    <r>
      <t xml:space="preserve">Nguyễn Thị Kim Chi. 217 Phạm Văn Đồng. 0937083298
</t>
    </r>
    <r>
      <rPr>
        <sz val="14"/>
        <color indexed="8"/>
        <rFont val="Times New Roman"/>
        <family val="1"/>
      </rPr>
      <t>*Thửa 06, TBĐ 01</t>
    </r>
  </si>
  <si>
    <t>Cửa sắt hỗn hợp: DT =2,3*2</t>
  </si>
  <si>
    <t>Nền lát gạch terrazo: DT =7*1,9</t>
  </si>
  <si>
    <t>Sân xi măng vỉa hè: DT =5,6*1,9</t>
  </si>
  <si>
    <t>3.4</t>
  </si>
  <si>
    <r>
      <t xml:space="preserve">Nguyễn Thị Kim Hương. 219 Phạm Văn Đồng, Vỹ Dạ, Huế
</t>
    </r>
    <r>
      <rPr>
        <sz val="14"/>
        <color indexed="8"/>
        <rFont val="Times New Roman"/>
        <family val="1"/>
      </rPr>
      <t>*Thửa 06, TBĐ 01</t>
    </r>
  </si>
  <si>
    <t>Gác lửng gỗ: DT =4,4*7,2</t>
  </si>
  <si>
    <t>Laphong nhựa: DT =7,2*4,4</t>
  </si>
  <si>
    <t>Laphong tôn: DT =4,2*3,5</t>
  </si>
  <si>
    <t>Laphong gỗ: DT =5,6*0,8</t>
  </si>
  <si>
    <t>Be BTCT: KT =4,4*1*0,15</t>
  </si>
  <si>
    <t>Ốp men bếp, nhà vệ sinh: 
DT =5*0,8+1*1,05+0,6*0,8+2,7*0,5+0,75*1,2</t>
  </si>
  <si>
    <t>Lan can sắt hộp: DT =6,2*0,8</t>
  </si>
  <si>
    <t>3.5</t>
  </si>
  <si>
    <r>
      <t xml:space="preserve">Lê Thị Thúy Vân. 221 Phạm Văn Đồng, Vỹ Dạ, Huế
</t>
    </r>
    <r>
      <rPr>
        <sz val="14"/>
        <color indexed="8"/>
        <rFont val="Times New Roman"/>
        <family val="1"/>
      </rPr>
      <t>*Thửa 06, TBĐ01</t>
    </r>
  </si>
  <si>
    <t>Nhà cấp IV, nhà móng BT, cột BTCT, tường chịu lực xây gạch, mái tôn, nền lát gạch, có khu phụ: DT =3,1*7,2</t>
  </si>
  <si>
    <t>Gác lửng gỗ: DT =3,1*7</t>
  </si>
  <si>
    <t>Laphong tôn: DT =3*6,8</t>
  </si>
  <si>
    <t>Laphong nhựa: DT =3,85*2,4+7*3</t>
  </si>
  <si>
    <t>Be BTCT: KT =3,1*1,2*0,15</t>
  </si>
  <si>
    <t>Lan can sắt hộp: DT =5*0,9</t>
  </si>
  <si>
    <t>Lan can gỗ: DT =0,7*1,7</t>
  </si>
  <si>
    <t>Ốp tôn: DT =4,9*2,4</t>
  </si>
  <si>
    <t>Ốp đá granit: DT =2,3*0,7</t>
  </si>
  <si>
    <t>Sân xi măng vỉa hè: DT =5,3*3,1</t>
  </si>
  <si>
    <t>3.6</t>
  </si>
  <si>
    <r>
      <t xml:space="preserve">Trần Thị Yến. 223 Phạm Văn Đồng, Vỹ Dạ, Huế
</t>
    </r>
    <r>
      <rPr>
        <sz val="14"/>
        <color indexed="8"/>
        <rFont val="Times New Roman"/>
        <family val="1"/>
      </rPr>
      <t>*thửa 06, TBĐ 01</t>
    </r>
  </si>
  <si>
    <t>Nhà cấp IV, nhà móng BT, cột BTCT, tường chịu lực xây gạch, mái tôn, nền lát gạch, có khu phụ: 
DT =3,25*7,2</t>
  </si>
  <si>
    <t>Gác lửng gỗ: DT =3,25*7,2</t>
  </si>
  <si>
    <t>Laphong nhựa: DT =(3*7)*2</t>
  </si>
  <si>
    <t>Be BTCT: DT =3,25*1*0,15</t>
  </si>
  <si>
    <t>Ốp men tường: DT =1,2*2,2+3,25*0,6+12,7*0,8+2,3*1,6</t>
  </si>
  <si>
    <t>Sân xi măng vỉa hè: DT =4,6*3,25</t>
  </si>
  <si>
    <t>Lan can sắt hộp: DT =5,05*0,8</t>
  </si>
  <si>
    <t>Nhà cấp IV, nhà móng BT, cột BTCT, tường chịu lực xây gạch, mái tôn, nền lát gạch, có khu phụ: 
DT =3,2*7,2</t>
  </si>
  <si>
    <t>Gác lửng gỗ: DT =3,2*7,2</t>
  </si>
  <si>
    <t>Laphong nhựa: DT =(7*3,05)*2</t>
  </si>
  <si>
    <t>Lát gạch men Be: DT =11,2*0,8</t>
  </si>
  <si>
    <t>Lan can sắt hộp: DT =12,5*0,8</t>
  </si>
  <si>
    <t>Ốp men tường: DT =10,6*0,15+10,4*0,15+1,4*2,2</t>
  </si>
  <si>
    <t>Ốp Alu: DT =3,5*2,6</t>
  </si>
  <si>
    <t>Ốp men bếp, nhà vệ sinh: 
DT =4,7*1,9+(2,5*0,3)*3+1,2*1,9+1,4*2,5</t>
  </si>
  <si>
    <t>Ốp men tường: DT =0,6*3,25+1,1*1,4+(1,1*0,6)*6</t>
  </si>
  <si>
    <t>Nền xi măng vỉa hè: DT =3,2*5,2</t>
  </si>
  <si>
    <t>Cây hoa giấy d=5-7cm: 1 cây</t>
  </si>
  <si>
    <r>
      <t xml:space="preserve">Hồ Phước - Tôn Nữ Thị Kim Nguyệt. 205 Nguyễn Sinh Cung, Vỹ Dạ, Huế. 0914207546
</t>
    </r>
    <r>
      <rPr>
        <i/>
        <sz val="14"/>
        <color indexed="8"/>
        <rFont val="Times New Roman"/>
        <family val="1"/>
      </rPr>
      <t>* Thửa 08, TBĐ 01</t>
    </r>
  </si>
  <si>
    <t>Be BTCT: KT =4,5*1*0,1</t>
  </si>
  <si>
    <t>Sân xi măng vỉa hè: DT =6,9*4,5</t>
  </si>
  <si>
    <t>11.1</t>
  </si>
  <si>
    <r>
      <t xml:space="preserve">Nguyễn Văn Đá - Phan Thị Thanh Xuân. 207 Phạm Văn Đồng, Vỹ Dạ, Tp Huế. 0934709494 - 0935607337
</t>
    </r>
    <r>
      <rPr>
        <sz val="14"/>
        <color indexed="8"/>
        <rFont val="Times New Roman"/>
        <family val="1"/>
      </rPr>
      <t>* Thửa 19, TBĐ 01</t>
    </r>
  </si>
  <si>
    <t>Nhà cấp III (2 tầng), nhà khung BTCT, móng BTCT, tường gạch, sàn BTCT, mái tôn, nền lát gạch:
DTT1 =(5,5*5,5)+(5,55*(3,05*5,95)/2)
DTT2 =(5,5*5,5)+(5,55*(3,05*5,95)/2)</t>
  </si>
  <si>
    <t>Ốp men tường: DT =8,1*0,9+7,5*1,8+(46,1*0,15)*2</t>
  </si>
  <si>
    <t>Laphong nhựa: DT =8,6*4,8</t>
  </si>
  <si>
    <t>Be BTCT: KT =5,8*1*0,15+5*0,3*0,05+5,5*0,5*0,1+9,2*1*0,15+5*0,2*0,15</t>
  </si>
  <si>
    <t>Lát gạch men Be: DT =0,85*5,7</t>
  </si>
  <si>
    <t>Ốp nhôm kính: DT =4,9*2,3</t>
  </si>
  <si>
    <t>Lát gạch men nền: DT =4,7*1,5</t>
  </si>
  <si>
    <t>Sân xi măng vỉa hè: DT =5,3*8</t>
  </si>
  <si>
    <t>Bảng hiệu tôn: DT =2,3*1,2</t>
  </si>
  <si>
    <t>Ốp tôn chống thấm: DT =15,05*4</t>
  </si>
  <si>
    <t>Be BTCT: KT =5*0,8*0,1+1,1*0,5*0,05+5,15*0,2*0,05+2*0,5*0,05+1,8*0,3*0,05</t>
  </si>
  <si>
    <t>Nhà cấp IV, nhà móng BT, cột BTCT, tường chịu lực xây gạch, mái tôn, nền xi măng, không có khu phụ: 
DT =5,1*3,4+3,6*4,2+2,85*1,9</t>
  </si>
  <si>
    <t>Nhà cấp IV, nhà móng BT, cột BTCT, tường chịu lực xây gạch, mái tôn, nền lát gạch, có khu phụ: 
DT =4*3+7,3*4,3</t>
  </si>
  <si>
    <t>Nhà cấp IV, nhà móng BT, cột BTCT, tường chịu lực xây gạch, mái tôn, nền lát gạch, không có khu phụ: 
DT =6,2*3</t>
  </si>
  <si>
    <t>Laphong nhựa: DT =6,1*2,9</t>
  </si>
  <si>
    <t>Ốp men bếp, nhà vệ sinh: 
DT =2,7*1,2+(0,8*0,4)*11+5,4*1,5+4*1+4*0,6</t>
  </si>
  <si>
    <t>Ốp Alu: DT =7,2*1,5+2,7*0,4</t>
  </si>
  <si>
    <t>Cửa sắt hộp: DT =1,8*2</t>
  </si>
  <si>
    <t>Biển hiệu quảng cáo có đèn: 
DT =3,6*1+7,2*3+6,2*1+1,2*0,5</t>
  </si>
  <si>
    <t>Biển hiệu tôn: DT =4*1,2</t>
  </si>
  <si>
    <t>Sân xi măng vỉa hè: DT =22,8*4,6</t>
  </si>
  <si>
    <t>Cây bàng d=10cm:1 cây</t>
  </si>
  <si>
    <t>Cây sưa d=10cm: 1 cây</t>
  </si>
  <si>
    <r>
      <t xml:space="preserve">Hoàng Ngọc An - Hoàng Thị Lánh. 203 Phạm Văn Đồng, phường Vỹ Dạ. 0984775531
</t>
    </r>
    <r>
      <rPr>
        <sz val="14"/>
        <color indexed="8"/>
        <rFont val="Times New Roman"/>
        <family val="1"/>
      </rPr>
      <t>*Thửa 28, TBĐ 01</t>
    </r>
  </si>
  <si>
    <t>Trụ BTCT: KT =(0,45*0,6*3)*2</t>
  </si>
  <si>
    <t>Ốp men trụ: DT =(1,05*2,8)*4</t>
  </si>
  <si>
    <t>Cửa sắt hộp: DT =2,6*2,6</t>
  </si>
  <si>
    <t>Nền lát gạch vỉa hè: DT =7,2*5,1</t>
  </si>
  <si>
    <t>Nền xi măng vỉa hè: DT =2,5*5,1</t>
  </si>
  <si>
    <t>22</t>
  </si>
  <si>
    <r>
      <t xml:space="preserve">Hoàng Cư - Phan Thị Mau. 195 Phạm Văn Đồng, Vỹ Dạ. 0349482303
</t>
    </r>
    <r>
      <rPr>
        <sz val="14"/>
        <color indexed="8"/>
        <rFont val="Times New Roman"/>
        <family val="1"/>
      </rPr>
      <t>*Thửa 32 TBĐ 01</t>
    </r>
  </si>
  <si>
    <t>Diện tích đất bị thu hồi: 6,6</t>
  </si>
  <si>
    <t>Nền lát gạch men: DT =5*5,6</t>
  </si>
  <si>
    <t>Sân xi măng vỉa hè: DT =5*4,2</t>
  </si>
  <si>
    <r>
      <t xml:space="preserve">Trương Viết Trọng - Trần Thị Liên. Phú Thuận, Phú Vang, Thừa Thiên Huế
</t>
    </r>
    <r>
      <rPr>
        <sz val="14"/>
        <color indexed="8"/>
        <rFont val="Times New Roman"/>
        <family val="1"/>
      </rPr>
      <t>* Thửa 33, TBĐ 01</t>
    </r>
  </si>
  <si>
    <t>Diện tích đất bị thu hồi: 1,7</t>
  </si>
  <si>
    <t>Cửa sắt kéo: DT =3,7*2,4</t>
  </si>
  <si>
    <t>Sân xi măng vỉa hè: DT =5,6*5</t>
  </si>
  <si>
    <t>Hàng rào sắt hộp: DT =1,8*1,6</t>
  </si>
  <si>
    <t>Cây sanh d=50cm: 1 cây</t>
  </si>
  <si>
    <t>20</t>
  </si>
  <si>
    <r>
      <t xml:space="preserve">Nguyễn Thị Thanh Nga - Nguyễn Công Phước. 199 Phạm Văn Đồng, Vỹ Dạ
</t>
    </r>
    <r>
      <rPr>
        <sz val="14"/>
        <color indexed="8"/>
        <rFont val="Times New Roman"/>
        <family val="1"/>
      </rPr>
      <t>* Thửa 30, TBĐ 01</t>
    </r>
  </si>
  <si>
    <t>Ốp đá trụ cổng: DT =(0,55*3)*5</t>
  </si>
  <si>
    <t>Cửa sắt hộp: DT =4,1*3</t>
  </si>
  <si>
    <t>Khung sắt hộp: DT =5*0,5</t>
  </si>
  <si>
    <t>Nền xi măng vỉa hè: DT =5*10,3</t>
  </si>
  <si>
    <r>
      <t xml:space="preserve">Đặng Thị Việt Anh - Đặng Thanh Tùng - Nguyễn Thị Minh Hồng (Đại diện kê khai). 35 Nguyễn Sinh Cung, phường Vỹ Dạ, Tp Huế. 0931847890
</t>
    </r>
    <r>
      <rPr>
        <sz val="14"/>
        <color indexed="8"/>
        <rFont val="Times New Roman"/>
        <family val="1"/>
      </rPr>
      <t>* Thửa 35, TBĐ 01</t>
    </r>
  </si>
  <si>
    <t xml:space="preserve">Diện tích đất bị thu hồi: 2,8 </t>
  </si>
  <si>
    <t>Nhà cấp IV, nhà móng BT, cột BTCT, tường chịu lực xây gạch, mái tôn, nền xi măng, không có khu phụ: DT =5,1*2</t>
  </si>
  <si>
    <t>Laphong nhựa: DT =4,9*2</t>
  </si>
  <si>
    <t>Cửa cuốn: DT =4,9*3</t>
  </si>
  <si>
    <t>Nền xi măng vỉa hè: DT =5,1*7,5</t>
  </si>
  <si>
    <t>Bảng hiệu Alu: DT =5,1*2</t>
  </si>
  <si>
    <t>Lưới B40: DT =5,1*1,2</t>
  </si>
  <si>
    <t>Ốp tôn: DT =5,1*1,2</t>
  </si>
  <si>
    <t>26</t>
  </si>
  <si>
    <r>
      <t xml:space="preserve">Trần Hồng Hải (đại điện kiểm kê). Phường Thuận An, Tp Huế. 0986618722
</t>
    </r>
    <r>
      <rPr>
        <sz val="14"/>
        <color indexed="8"/>
        <rFont val="Times New Roman"/>
        <family val="1"/>
      </rPr>
      <t>* Thửa 02, TBĐ 03</t>
    </r>
  </si>
  <si>
    <t>Cửa sắt ống: DT =3,7*2</t>
  </si>
  <si>
    <t>Trụ BTCT: KT =(0,3*0,3*2,7)*3</t>
  </si>
  <si>
    <t>Sân xi măng vỉa hè: DT =9,8*20</t>
  </si>
  <si>
    <t>Di chuyển chậu cây cảnh: 1 chậu lớn</t>
  </si>
  <si>
    <t>Mái che tôn, trụ sắt, đỡ sắt: 
DT =5,3*6,2</t>
  </si>
  <si>
    <t>Tường xây gạch kín: 
DT =(1,15*2,05)*2</t>
  </si>
  <si>
    <t>Ốp men tường thành: 
DT =(1,3*2,05)*2</t>
  </si>
  <si>
    <t>Quán cà phê cấp IV, 1 tầng, cột BT, móng BTCT, tường bờ lô, mái tôn, nền gạch men, có khu phụ: 
DT =8,7*4,27</t>
  </si>
  <si>
    <t>Mái che tôn thông dụng, trụ sắt, đỡ sắt: DT =5,3*4,6</t>
  </si>
  <si>
    <t>B-IV.1, 
QĐ 11</t>
  </si>
  <si>
    <t>QĐ 11 B-IV.1</t>
  </si>
  <si>
    <t>QĐ 65 - PL 02 - XIV.3</t>
  </si>
  <si>
    <t>Cây cảnh trồng trên đất: 
DT =28,9*0,35</t>
  </si>
  <si>
    <r>
      <t>m</t>
    </r>
    <r>
      <rPr>
        <vertAlign val="superscript"/>
        <sz val="14"/>
        <rFont val="Times New Roman"/>
        <family val="1"/>
      </rPr>
      <t>2</t>
    </r>
  </si>
  <si>
    <t>Bồn hoa xây gạch: 
KT =(0,7*0,2*0,15)*4</t>
  </si>
  <si>
    <t>Mái che tôn, đỡ sắt, trụ sắt: 
DT =29,3*2,5</t>
  </si>
  <si>
    <t>Mái che tôn đỡ sắt, trụ sắt: 
DT =4,27*0,5</t>
  </si>
  <si>
    <t>Mái che tôn, trụ sắt, đỡ sắt: 
DT =3,15*5,2</t>
  </si>
  <si>
    <t>Mái che tôn, đỡ sắt, trụ sắt,: 
DT =5,4*1+3,7*5,1</t>
  </si>
  <si>
    <t>Mái che tôn, đỡ sắt, trụ sắt: 
DT =3,3*5</t>
  </si>
  <si>
    <t>Mái che tôn, đỡ sắt, trụ sắt:
DT =2,8*5</t>
  </si>
  <si>
    <t>Mái che tôn, đỡ sắt, trụ sắt: 
DT =1,3*5</t>
  </si>
  <si>
    <t>Mái che tôn, đỡ sắt, trụ sắt: 
DT =9,7*2</t>
  </si>
  <si>
    <t>Mái che tôn, trụ sắt, đỡ sắt: 
DT =2,6*6</t>
  </si>
  <si>
    <t>Mái che tôn, đỡ sắt, trụ sắt: 
DT =5,3*15,6</t>
  </si>
  <si>
    <t>Mái che tôn, trụ sắt, đỡ sắt: 
DT =9,9*5</t>
  </si>
  <si>
    <t>Mái che tôn, trụ sắt, đỡ sắt: 
DT =12,3*9,5</t>
  </si>
  <si>
    <t>Mái che tôn, đỡ sắt, trụ sắt: 
DT =3,8*3,6+2,8*2,6</t>
  </si>
  <si>
    <t>Mái che tôn, trụ sắt, đỡ sắt: 
DT =13,1*5</t>
  </si>
  <si>
    <t>Mái che tôn, trụ sắt, đỡ sắt: 
DT =4,6*5</t>
  </si>
  <si>
    <t>Mái che tôn, trụ sắt, đỡ sắt: 
DT =4,3*5,1</t>
  </si>
  <si>
    <t>Mái che tôn, trụ sắt đỡ sắt: 
DT =9,6*3,4</t>
  </si>
  <si>
    <t>Mái che tôn, trụ sắt, đỡ sắt: 
DT =12,3*2,6</t>
  </si>
  <si>
    <t>Mái che tôn, đỡ sắt, trụ sắt: 
DT =4,6*5,5</t>
  </si>
  <si>
    <t>Mái che tôn, đỡ sắt, trụ sắt: 
DT =2,7*7,8</t>
  </si>
  <si>
    <t>Mái che tôn, đỡ sắt, trụ sắt: 
DT =2,2*5,1</t>
  </si>
  <si>
    <t>Mái che tôn, đỡ sắt, trụ sắt: 
DT =10,2*2</t>
  </si>
  <si>
    <t>Mái che tôn, đỡ sắt, trụ sắt: 
DT =2,4*6</t>
  </si>
  <si>
    <t>Mái che tôn, đỡ sắt, trụ sắt: 
DT =7,5*7,1</t>
  </si>
  <si>
    <t>Mái che tôn đỡ sắt, trụ sắt: 
DT =1,1*5,9</t>
  </si>
  <si>
    <t>Mái che tôn, trụ sắt, đỡ sắt: 
DT =8*6,9</t>
  </si>
  <si>
    <t>Mái che tôn, đỡ sắt, trụ sắt: 
DT =2,7*23,45</t>
  </si>
  <si>
    <t>Mái che tôn, đỡ sắt, trụ sắt: 
DT =1,8*5,2</t>
  </si>
  <si>
    <t>Mái che tôn, đỡ sắt, trụ sắt: 
DT =3,7*6,6</t>
  </si>
  <si>
    <t>Mái che tôn, đỡ sắt, trụ sắt: 
DT =8,1*4</t>
  </si>
  <si>
    <t>Mái che tôn, đỡ sắt, trụ sắt: 
DT =1,8*3,2</t>
  </si>
  <si>
    <t>Mái che tôn, trụ sắt, đỡ sắt: 
DT =8,4*4,05</t>
  </si>
  <si>
    <t>Sân lát gạch: 
DT =3,8*5,8+6,4*0,6+6,9*0,4</t>
  </si>
  <si>
    <t>Nền lát gạch tezzaro: 
DT =5,7*3,6+1,2*0,4</t>
  </si>
  <si>
    <t>QĐ 11, B-III.3</t>
  </si>
  <si>
    <t>Tường xây bờ lô kín: 
DT =2,2*1+4*0,3</t>
  </si>
  <si>
    <t>Hầm rút nước&lt;0,5m3: 
KT =0,6*0,6*1</t>
  </si>
  <si>
    <t>QĐ 11 -B I.1</t>
  </si>
  <si>
    <t>Laphong thạch cao: 
DT =2,05*4,6+5,3*3,8</t>
  </si>
  <si>
    <t>PL2;
XIV-2
QĐ 65</t>
  </si>
  <si>
    <t>QĐ 11
A-33</t>
  </si>
  <si>
    <t>Nền lát gạch men: 
DT =7,3*6,3+1,4*1,25</t>
  </si>
  <si>
    <r>
      <t>đồng/m</t>
    </r>
    <r>
      <rPr>
        <vertAlign val="superscript"/>
        <sz val="11"/>
        <color indexed="8"/>
        <rFont val="Times New Roman"/>
        <family val="1"/>
      </rPr>
      <t>2</t>
    </r>
    <r>
      <rPr>
        <sz val="11"/>
        <color indexed="8"/>
        <rFont val="Times New Roman"/>
        <family val="1"/>
      </rPr>
      <t xml:space="preserve"> 
+ đồng/non bộ</t>
    </r>
  </si>
  <si>
    <t xml:space="preserve">QĐ 65
PL2; 
XVI-7
</t>
  </si>
  <si>
    <t xml:space="preserve">QĐ 65
PL2; 
XVI-4
</t>
  </si>
  <si>
    <t xml:space="preserve">non bộ
</t>
  </si>
  <si>
    <t>PL2; 
VII-1.3;
QĐ 65</t>
  </si>
  <si>
    <t>PL2;
XI-6
QĐ 65</t>
  </si>
  <si>
    <t>QĐ 11 -B III.22</t>
  </si>
  <si>
    <t>QĐ 11 -B IV.3</t>
  </si>
  <si>
    <t>QĐ 11 - II.11</t>
  </si>
  <si>
    <t>Nền lát gạch men: 
DT =0,5*1,2+6*5</t>
  </si>
  <si>
    <t>Mái che nhựa, trụ sắt, đỡ sắt: 
DT =2,2*5,1</t>
  </si>
  <si>
    <t>Khung sắt hộp: 
DT =1,2*3,2+(0,8*2,5)*2</t>
  </si>
  <si>
    <t>Khung sắt hộp: 
DT =3*1,6+2,4*0,6</t>
  </si>
  <si>
    <t>Hàng rào xây bờ lô kín: 
DT =3*1,3</t>
  </si>
  <si>
    <t>Trụ cổng BTCT: 
KT =(0,4*0,4*2,25)*2</t>
  </si>
  <si>
    <t>Laphong tôn: 
DT =3,6*4,1+4,5*2,9</t>
  </si>
  <si>
    <t>Lan can sắt hộp: 
DT =(2,3*1)*2+4,1*1</t>
  </si>
  <si>
    <t>Mái che tôn, trụ sắt, đỡ sắt: 
DT =4,3*2,4</t>
  </si>
  <si>
    <t>Hàng rào xây bờ lô kín: 
DT =9,1*1,8</t>
  </si>
  <si>
    <t>Mái che tôn, đỡ sắt, trụ sắt: 
DT =10,8*6,4</t>
  </si>
  <si>
    <t>Mái che tôn, trụ sắt, đỡ sắt: 
DT =6,7*1,9</t>
  </si>
  <si>
    <t>Nhà cấp IV, nhà móng BT, cột BTCT, tường chịu xây gạch, mái tôn, nền lát gạch, có khu phụ: 
DT =7,2*4,4</t>
  </si>
  <si>
    <t>Ốp men tường: 
DT =13,8*0,8+1,4*2,3+4,4*0,6</t>
  </si>
  <si>
    <t>Mái che tôn, trụ sắt, đỡ sắt: 
DT =4,4*1,3</t>
  </si>
  <si>
    <t>Mái che tôn, trụ sắt, đỡ sắt: 
DT =3,1*1,3</t>
  </si>
  <si>
    <t>Ốp men tường: 
DT =3,7*1,8+4,8*1,8+13,1*0,15</t>
  </si>
  <si>
    <t>Bậc cấp xây bờ lô: 
KT =2,9*0,7*0,15</t>
  </si>
  <si>
    <t>Ốp men tường: 
DT =2,3*1,1+3,1*0,6</t>
  </si>
  <si>
    <t>Mái che tôn, đỡ sắt, trụ sắt: 
DT =3,3*1,3</t>
  </si>
  <si>
    <t>Ốp men bếp, nhà vệ sinh: 
DT =4,1*1,7+1,5*1,7+3*2,8</t>
  </si>
  <si>
    <t>Bậc cấp xây bờ lô: 
KT =3,25*0,7*0,15</t>
  </si>
  <si>
    <t>Be  BTCT: 
KT =11,2*1*0,15+3,2*7,2*0,1</t>
  </si>
  <si>
    <t>Mái che tôn, đỡ sắt, trụ sắt: 
DT =1,3*11,2</t>
  </si>
  <si>
    <t>Mái che tôn, trụ sắt, đỡ sắt: 
DT =4,5*1,6</t>
  </si>
  <si>
    <t>Ốp đá granit: 
DT =2,9*0,65+(1*0,45)*19</t>
  </si>
  <si>
    <t>Lan can sắt hộp: 
DT =7,6*0,85+7,9*0,7</t>
  </si>
  <si>
    <t>Ốp men bếp, nhà vệ sinh: 
DT =3,2*0,9+4,4*0,8</t>
  </si>
  <si>
    <t>Mái che tôn, trụ sắt, đỡ sắt: 
DT =4,9*1,8+3*1,5</t>
  </si>
  <si>
    <t>Hàng rào xây bờ lô kín: 
DT =7,9*0,3</t>
  </si>
  <si>
    <t>Bảng hiệu quảng cáo có đèn: 
DT =4,9*2,3</t>
  </si>
  <si>
    <t>Nền xi măng: 
DT =(3,4*4)/2+4,4*1,8+4,5*2,9</t>
  </si>
  <si>
    <t>Mái che tôn, trụ sắt, đỡ sắt: 
DT =(3,4*4)/2+3*4,8</t>
  </si>
  <si>
    <t>Hàng rào xây bờ lô kín: 
DT =0,8*1,6</t>
  </si>
  <si>
    <t>Mái che tôn, đỡ sắt, trụ sắt: 
DT =5*2,45</t>
  </si>
  <si>
    <t>Mái che tôn, đỡ sắt, trụ sắt: 
DT =5*3,9</t>
  </si>
  <si>
    <t>Hàng rào xây gạch kín: 
DT =3*0,7+1,2*1,95+0,5*3</t>
  </si>
  <si>
    <t>Trụ cổng BTCT: 
KT =(0,55*0,55*3,2)*2</t>
  </si>
  <si>
    <t>Bảng hiệu quảng cáo có đèn: 
DT =5*1,2</t>
  </si>
  <si>
    <t>Mái che tôn, trụ sắt, đỡ sắt: 
DT =5,3*1</t>
  </si>
  <si>
    <t>Mái che tôn, trụ sắt, đỡ sắt: 
DT =5,1*2,2</t>
  </si>
  <si>
    <t>Trụ cổng BTCT: 
KT =(0,5*0,5*2,7)*2</t>
  </si>
  <si>
    <t>Hàng rào xây bờ lô kín: 
DT =11*1,2</t>
  </si>
  <si>
    <t>Nền lát gạch tezzaro: 
DT =14,1*0,9</t>
  </si>
  <si>
    <t>QĐ 65 - PL 02I - X.2.1</t>
  </si>
  <si>
    <t>Chậu cây cảnh d=15cm: 2 chậu</t>
  </si>
  <si>
    <t>Nhà cấp IV, nhà móng BT, cột BTCT, tường chịu lực xây bờ lô, mái tôn, nền xi măng, không có khu phụ (trừ 99.000đ chênh lệch nền gạch): 
DT =4,5*5,2</t>
  </si>
  <si>
    <r>
      <t>m</t>
    </r>
    <r>
      <rPr>
        <vertAlign val="superscript"/>
        <sz val="14"/>
        <color indexed="8"/>
        <rFont val="Times New Roman"/>
        <family val="1"/>
      </rPr>
      <t>3</t>
    </r>
    <r>
      <rPr>
        <sz val="11"/>
        <color indexed="8"/>
        <rFont val="Calibri"/>
        <family val="2"/>
      </rPr>
      <t/>
    </r>
  </si>
  <si>
    <r>
      <t>m</t>
    </r>
    <r>
      <rPr>
        <vertAlign val="superscript"/>
        <sz val="14"/>
        <color indexed="8"/>
        <rFont val="Times New Roman"/>
        <family val="1"/>
      </rPr>
      <t>2</t>
    </r>
    <r>
      <rPr>
        <sz val="14"/>
        <color indexed="8"/>
        <rFont val="Times New Roman"/>
        <family val="1"/>
      </rPr>
      <t xml:space="preserve"> 
</t>
    </r>
  </si>
  <si>
    <t>87</t>
  </si>
  <si>
    <t>Diện tích đất bị thu hồi: 31,5</t>
  </si>
  <si>
    <t>Nhà cấp IV, nhà móng BTCT kết hợp xây gạch đá, cột BTCT, tường gạch, mái tôn, nền lát gạch, không có khu phụ: DT =5*5,7</t>
  </si>
  <si>
    <t>Laphong thạch cao: DT =5,7*4,75</t>
  </si>
  <si>
    <t>Cửa cuốn: DT =4,7*3,4</t>
  </si>
  <si>
    <t>Bậc cấp xây bờ lô: 
KT =(0,3*0,15*5)*3</t>
  </si>
  <si>
    <t>Ốp đá granit: DT =(0,45*5)*3</t>
  </si>
  <si>
    <t>Sân lát gạch tezzaro vỉa hè: DT =5,9*5</t>
  </si>
  <si>
    <t>Bảng hiệu quảng cáo có đèn: DT =5*3</t>
  </si>
  <si>
    <t>101</t>
  </si>
  <si>
    <t>Diện tích đất bị thu hồi: 23,7</t>
  </si>
  <si>
    <t>Trụ cổng BTCT: KT =(0,4*0,4*2)*2</t>
  </si>
  <si>
    <t>Cửa sắt hỗn hợp: DT =2*1,8</t>
  </si>
  <si>
    <t>B40: DT =5,5*1,2</t>
  </si>
  <si>
    <t>Hàng rào xây bờ lô kín: DT =1,2*1,1</t>
  </si>
  <si>
    <t>Mái che tôn đỡ sắt, trụ sắt: 
DT =4,55*4</t>
  </si>
  <si>
    <t>Nền xi măng: DT =5,5*4</t>
  </si>
  <si>
    <t>Be BTCT: KT =1*4*0,2</t>
  </si>
  <si>
    <t>Nhà cấp III, 1 tầng, nhà khung BTCT chịu lực, móng BTCT kết hợp gạch đá, tường gạch, mái đúc, nền lát gạch: 
DT =4*4,5</t>
  </si>
  <si>
    <t>10</t>
  </si>
  <si>
    <r>
      <t xml:space="preserve">Võ Văn Tùng - Võ Thùy Oanh. 219 Trần Hưng Đạo, phường Đông Ba. 0845424190 - 0934751111
</t>
    </r>
    <r>
      <rPr>
        <sz val="14"/>
        <color indexed="8"/>
        <rFont val="Times New Roman"/>
        <family val="1"/>
      </rPr>
      <t>* Thửa 73, TBĐ 03</t>
    </r>
  </si>
  <si>
    <t>Nhà cấp III, 4 tầng khung BTCT, móng cọc, nền móng gia cố cọc BTCT, tường gạch, sàn BTCT, mái tôn, nền gạch men cảnh hưởng 0,9m (trừ tường nhà): DT =(4,8*3)*4</t>
  </si>
  <si>
    <t>Mái hiên liền nhà cấp III, 4 tầng, khung BTCT, móng cọc, nền móng gia cố, cọc BTCT, tường gạch, sàn BTCT, mái tôn, nền lát gạch: 
DT =2,55*3+(1,3*8)*3</t>
  </si>
  <si>
    <t>Trụ cổng BTCT: 
KT =(0,53*0,53*2,2)*2</t>
  </si>
  <si>
    <t>Trụ BTCT: KT =(0,25*0,25*1,3)*3</t>
  </si>
  <si>
    <t>Tường xây bờ lô kín: 
DT =0,35*4,7+1,9*0,6+(8*1,3)*2</t>
  </si>
  <si>
    <t>Hàng rào sắt cây: DT =1,8*6,2</t>
  </si>
  <si>
    <t>B40: DT =6,2*1,2+1,2*7,4</t>
  </si>
  <si>
    <t>Sân bê tông xỉ vỉa hè: DT =5,5*11</t>
  </si>
  <si>
    <t>Hàng rào tôn: DT =2,4*7,4</t>
  </si>
  <si>
    <t>Bồn hoa xây bờ lô kín: DT =(4*0,16)*2+(4,4*0,25)*2+(3,6*0,4)*2</t>
  </si>
  <si>
    <t>Mưng (lộc vừng) d=25cm: 1 cây</t>
  </si>
  <si>
    <t>Mưng (lộc vừng) d=30cm: 3 cây</t>
  </si>
  <si>
    <t>Mái che di động bạt, trụ sắt, đỡ sắt: DT =9,8*4,35</t>
  </si>
  <si>
    <t>Biển quảng cáo có đèn: DT =4,3*1,2</t>
  </si>
  <si>
    <t>Sân đoanh đúc BTCT dưới mái che: DT =10,5*7</t>
  </si>
  <si>
    <t>Di chuyển chậu d=20cm: 20 chậu</t>
  </si>
  <si>
    <t>Di chuyển chậu d=50-70cm: 2 chậu</t>
  </si>
  <si>
    <t>Cây cau h&gt;10m: 6 cây</t>
  </si>
  <si>
    <t>Cửa sắt cây: DT =3,75*2,4</t>
  </si>
  <si>
    <t>Hàng rào sắt hộp: DT =4,3*0,9</t>
  </si>
  <si>
    <t>Di chuyển chậu nuôi cá d&gt;100cm: 1 chậu</t>
  </si>
  <si>
    <t>Di chuyển đường nước nhựa d&lt;40cm: 11m</t>
  </si>
  <si>
    <t>Di chuyển đường điện 220kv: 11m</t>
  </si>
  <si>
    <r>
      <t xml:space="preserve">Phan Thanh Dũng. 583 Nguyễn Tất Thành, Hội An, Quảng Nam. 0942014000
</t>
    </r>
    <r>
      <rPr>
        <sz val="14"/>
        <color indexed="8"/>
        <rFont val="Times New Roman"/>
        <family val="1"/>
      </rPr>
      <t>* Thửa 63, TBĐ 03</t>
    </r>
  </si>
  <si>
    <t>Mái che tôn, đỡ sắt, trụ sắt: 
DT =5,1*6,2</t>
  </si>
  <si>
    <t>Cửa sắt hỗn hợp: DT =4,6*2,5</t>
  </si>
  <si>
    <t>Nền xi măng: DT =5*5,3</t>
  </si>
  <si>
    <t>Sân xi măng vỉa hè: DT =3,9*5,1</t>
  </si>
  <si>
    <t>Hàng rào xây bờ lô kín: DT =6,9*2</t>
  </si>
  <si>
    <t>B40: DT =6,9*1,5</t>
  </si>
  <si>
    <t>Laphong nhựa: DT =3,3*4,1+0,8*4,1</t>
  </si>
  <si>
    <t>Lan can Inox: DT =4,8*0,8</t>
  </si>
  <si>
    <t>Ốp lambri: DT =(12,5*1)*2</t>
  </si>
  <si>
    <t>Ốp men tường: 
DT =4,8*1,1+(1,2*3,5)*2</t>
  </si>
  <si>
    <t>180</t>
  </si>
  <si>
    <t>Diện tích đất bị thu hồi: 49,7</t>
  </si>
  <si>
    <t>Ốp tôn: DT =(4,4*3,5)*2+6,3*3,5</t>
  </si>
  <si>
    <t>B40: DT =3,7*3,5</t>
  </si>
  <si>
    <t>Nền xi măng: DT =10*4,4</t>
  </si>
  <si>
    <t>Sân xi măng vỉa hè: DT =10*7,5</t>
  </si>
  <si>
    <t>Mái che tôn, trụ sắt, đỡ sắt: 
DT =10*4,4</t>
  </si>
  <si>
    <t>Cau h&gt;10m: 6 cây</t>
  </si>
  <si>
    <t>54</t>
  </si>
  <si>
    <r>
      <t xml:space="preserve">Trần Văn Quang. Lại Thế, Phú Thượng, Tp Huế. 0914079206
</t>
    </r>
    <r>
      <rPr>
        <sz val="14"/>
        <color indexed="8"/>
        <rFont val="Times New Roman"/>
        <family val="1"/>
      </rPr>
      <t>* Thửa 27, TBĐ 03</t>
    </r>
  </si>
  <si>
    <t>Diện tích đất bị thu hồi: 196,9</t>
  </si>
  <si>
    <t>Trụ cổng BTCT: 
KT =(0,45*0,45*4,5)*2</t>
  </si>
  <si>
    <t>Trụ BTCT: KT =(0,35*0,35*3,4)*2</t>
  </si>
  <si>
    <t>Mái che, trụ BTCT, khung gỗ, mái ngói: DT =4,9*2+(2,3*2)*2+2,2*0,6</t>
  </si>
  <si>
    <t>Cửa sắt hộp: DT =2,3*2,6</t>
  </si>
  <si>
    <t>Hàng rào xây bờ lô kín: 
DT =9,5*1,75+0,8*2,3+11,6*0,4+8,1*0,45</t>
  </si>
  <si>
    <t>Hàng rào sắt ống: 
DT =5,4*0,3+1,2*0,3</t>
  </si>
  <si>
    <t>Nền gạch men: 
DT =2,5*1,6+(1,6*1,2)*2+1,6*1,8</t>
  </si>
  <si>
    <t>Nền gạch tezzaro: DT =7,4*2,6</t>
  </si>
  <si>
    <t>Sân xi măng vỉa hè: 
DT =7,7*7,6+(5,4*2,9)*2</t>
  </si>
  <si>
    <t>Nhà cấp IV, nhà móng BT, cột BTCT, tường chịu lực xây gạch, mái tôn, nền lát gạch: DT =11,7*8,75</t>
  </si>
  <si>
    <t>Gác lửng BTCT: 
DT =4,65*2,35+4,45*4,65</t>
  </si>
  <si>
    <t>Laphong nhựa: DT =3,8*11,1+4,35*2</t>
  </si>
  <si>
    <t>Nền xi măng: DT =(1,3*3,4)*4</t>
  </si>
  <si>
    <t>Cửa gỗ: DT =2,2*2,1</t>
  </si>
  <si>
    <t>Ốp men trụ cổng: 
DT =(0,45*2)*8+(0,35*2)*7</t>
  </si>
  <si>
    <t>Cửa sắt ống: DT =(1,9*0,8)*2</t>
  </si>
  <si>
    <t>Trụ BTCT: KT =(0,32*0,32*2)*5</t>
  </si>
  <si>
    <t>Trụ cổng BTCT: KT =(0,4*0,4*3,9)*2</t>
  </si>
  <si>
    <t>Bảng hiệu quảng cáo có đèn: 
DT =0,4*2,2</t>
  </si>
  <si>
    <t>Ốp men: 
DT =5,4*1,8+11*1,5+(11*1,2)*2</t>
  </si>
  <si>
    <t>Cửa sắt kéo: DT =2,9*2,3</t>
  </si>
  <si>
    <t>Bảng hiệu nhựa: DT =(0,35*2,4)*2</t>
  </si>
  <si>
    <t>Sân xi măng vỉa hè: DT =11,7*4,9</t>
  </si>
  <si>
    <t>Cây mưng d=15cm: 3 cây</t>
  </si>
  <si>
    <t>Cây vải d=50cm: 1 cây</t>
  </si>
  <si>
    <t>Cây vải d=20cm: 2 cây</t>
  </si>
  <si>
    <t>Cây bông giấy d=20cm: 1 cây</t>
  </si>
  <si>
    <t>Cây khế d=10cm: 2 cây</t>
  </si>
  <si>
    <t>Di chuyển chậu cây cảnh: 8 chậu lớn</t>
  </si>
  <si>
    <t>Di chuyển chậu cây cảnh: 29 chậu vừa</t>
  </si>
  <si>
    <t>Cây mai vàng d=5cm: 2 cây</t>
  </si>
  <si>
    <t>Khung sắt hộp: DT =2,9*2,1</t>
  </si>
  <si>
    <t>Bảng hiệu alu: 
DT =2,8*0,8+3,3*1,2+3,2*1,2</t>
  </si>
  <si>
    <t>Bình phong đúc BTCT: 
KT =2*2,1*0,15</t>
  </si>
  <si>
    <t>Ốp men: 
DT =(3,8*1,2)*2+0,85*1,8+1,1*3,5</t>
  </si>
  <si>
    <t>QĐ 65; PL1; 2.1d</t>
  </si>
  <si>
    <t>QĐ 65; PL1; 2.3a</t>
  </si>
  <si>
    <t>QĐ 65 - PL 02 - IX.2.1</t>
  </si>
  <si>
    <t>TỔNG CỘNG</t>
  </si>
  <si>
    <t>Ktra nhà có khu phụ hay không</t>
  </si>
  <si>
    <t>KT lại DT mái taluy CV 527</t>
  </si>
  <si>
    <r>
      <t>m</t>
    </r>
    <r>
      <rPr>
        <vertAlign val="superscript"/>
        <sz val="14"/>
        <rFont val="Times New Roman"/>
        <family val="1"/>
      </rPr>
      <t>3</t>
    </r>
  </si>
  <si>
    <t>135</t>
  </si>
  <si>
    <t>Không bồi thường diện tích đất theo Công văn số 1447/TNMT-GPMB ngày 07/06/2023</t>
  </si>
  <si>
    <t xml:space="preserve"> Không bồi thường diện tích đất theo Công văn số 1474/TNMT-GPMB ngày 08/06/2023</t>
  </si>
  <si>
    <t>Không bồi thường diện tích đất theo Công văn số 1474/TNMT-GPMB ngày 08/06/2023</t>
  </si>
  <si>
    <t>Không bồi thường diện tích đất theo Công văn số 1542/TNMT-GPMB ngày 14/06/2023</t>
  </si>
  <si>
    <t>Không bồi thường diện tích đất theo Công văn số 1627/TNMT-GPMB ngày 21/06/2023</t>
  </si>
  <si>
    <t>Sân bê tông xỉ trên vỉa hè: 
DT =3,97*4,1</t>
  </si>
  <si>
    <t>Diện tích đất bị thu hồi: 66,2</t>
  </si>
  <si>
    <t>Diện tích đất bị thu hồi: 45,2</t>
  </si>
  <si>
    <t>Diện tích đất bị thu hồi: 124,3</t>
  </si>
  <si>
    <r>
      <t xml:space="preserve"> DỰ THẢO GIÁ TRỊ BỒI THƯỜNG, HỖ TRỢ KHI NHÀ NUỚC THU HỒI ĐẤT THỰC HIỆN DỰ ÁN DỰ ÁN CẢI THIỆN MÔI TRƯỜNG NƯỚC THÀNH PHỐ HUẾ. HẠNG MỤC: HỆ THỐNG THOÁT NƯỚC, LỀ ĐƯỜNG PHẠM VĂN ĐỒNG (ĐỢT 2)
</t>
    </r>
    <r>
      <rPr>
        <i/>
        <sz val="14"/>
        <color indexed="8"/>
        <rFont val="Times New Roman"/>
        <family val="1"/>
      </rPr>
      <t>(Kèm theo Thông báo số            /TB-TTPTQĐ ngày      /    /2023 của Trung tâm Phát triển quỹ đất thành phố Huế).</t>
    </r>
  </si>
  <si>
    <t>Huỳnh Văn Viết Tuấn</t>
  </si>
  <si>
    <t>Tài sản xây dựng trên đất của ông Mai Văn Hóa (thửa 84, TBĐ 03)</t>
  </si>
  <si>
    <t>Bổ sung thông tin địa chỉ - SĐT</t>
  </si>
  <si>
    <r>
      <t xml:space="preserve">Trương Thị Hoa - La Đình Mão (La Anh Dũng đại diện kê khai). 11 Thanh Tịnh, Vỹ Dạ
</t>
    </r>
    <r>
      <rPr>
        <sz val="14"/>
        <color indexed="8"/>
        <rFont val="Times New Roman"/>
        <family val="1"/>
      </rPr>
      <t>* Thửa 52, TBĐ 03</t>
    </r>
  </si>
  <si>
    <t>Trần Hữu Quang. 17/15 Đống Đa, Phú Nhuận, Tp Huế. 0369100009</t>
  </si>
  <si>
    <t>Tài sản trên đất của bà Trương Thị Hoa (Thửa 52, TBĐ 03)</t>
  </si>
  <si>
    <r>
      <t xml:space="preserve">Mai Quốc Thanh - Nguyễn Thị Thanh Thanh. 148 Nguyễn Sinh Cung, Vỹ Dạ
</t>
    </r>
    <r>
      <rPr>
        <sz val="14"/>
        <rFont val="Times New Roman"/>
        <family val="1"/>
      </rPr>
      <t>* Thửa 95, TBĐ 02</t>
    </r>
  </si>
  <si>
    <t>Phan Thanh Hùng. 33 Dương Thiệu Tước, Thủy Dương, Hương Thủy. 0905996599</t>
  </si>
  <si>
    <t>Tài sản trên đất của ông, bà Mai Quốc Thanh - Nguyễn Thị Thanh Thanh (thửa đất số 95, TBĐ 02)</t>
  </si>
  <si>
    <r>
      <t xml:space="preserve">Lưu Tấn Tiến - Nguyễn Thị Kim Trinh. 561 đường 3/2, phường 8, quận 10, TPHCM
</t>
    </r>
    <r>
      <rPr>
        <sz val="14"/>
        <color indexed="8"/>
        <rFont val="Times New Roman"/>
        <family val="1"/>
      </rPr>
      <t>* Thửa 12+13+15, TBĐ 02</t>
    </r>
  </si>
  <si>
    <t>Nguyễn Thành Nam. 96 Lê Viết Lượng, An Đông, Huế. 0905484113</t>
  </si>
  <si>
    <t>Tài sản trên đất ông của ông, bà Lưu Tấn Tiến - Nguyễn Thị Kim Trinh (Thửa đất số 12+13+15, TBĐ 02)</t>
  </si>
  <si>
    <t>Diện tích đất bị thu hồi: 23.4 + 23.1 + 23.3</t>
  </si>
  <si>
    <t>Đất không đủ điều kiện bồi thường</t>
  </si>
  <si>
    <t xml:space="preserve"> Không đủ điều kiện bồi thường (Theo công văn số 1730/TNMT-GPMB ngày 29/06/2023 của phòng Tài nguyên và Môi trường thành phố Huế)</t>
  </si>
  <si>
    <t xml:space="preserve"> Không đủ điều kiện bồi thường (Theo công văn số 1447/TNMT-GPMB ngày 07/06/2023 của phòng Tài nguyên và Môi trường thành phố Huế)</t>
  </si>
  <si>
    <t>Nhà cấp IV, nhà móng BTCT kết hợp xây gạch đá, cột BTCT, tường gạch, mái tôn, nền lát gạch, không có khu phụ: 
DT =6,3*5,2</t>
  </si>
  <si>
    <t>bổ sung thêm Lambri gạch men</t>
  </si>
  <si>
    <t>Trụ cổng BTCT: KT=(0,56*0,56*2,6)*2</t>
  </si>
  <si>
    <t>sửa lại trong bbkk KT</t>
  </si>
  <si>
    <r>
      <t xml:space="preserve">Tôn Thất Tuân - Huỳnh Thị Phú Lành. 105 Huỳnh Thúc Kháng
</t>
    </r>
    <r>
      <rPr>
        <b/>
        <sz val="14"/>
        <color indexed="8"/>
        <rFont val="Times New Roman"/>
        <family val="1"/>
      </rPr>
      <t>* Thửa 82, TBĐ 02 (24,1m</t>
    </r>
    <r>
      <rPr>
        <b/>
        <vertAlign val="superscript"/>
        <sz val="14"/>
        <color indexed="8"/>
        <rFont val="Times New Roman"/>
        <family val="1"/>
      </rPr>
      <t>2</t>
    </r>
    <r>
      <rPr>
        <b/>
        <sz val="14"/>
        <color indexed="8"/>
        <rFont val="Times New Roman"/>
        <family val="1"/>
      </rPr>
      <t>); thửa 84, TBĐ 02 (48,3m2); thửa 86, TBĐ 02 (47,7m2); thửa 88, TBĐ 02 (35,3m2)</t>
    </r>
  </si>
  <si>
    <r>
      <t xml:space="preserve">Dương Văn Tín - Nguyễn Thị Sương. TDP Lại Thế 2, phường Phú Thượng, Huế. 0914006960 - 0375241392
</t>
    </r>
    <r>
      <rPr>
        <b/>
        <sz val="14"/>
        <color indexed="8"/>
        <rFont val="Times New Roman"/>
        <family val="1"/>
      </rPr>
      <t>* Thửa 89, TBĐ 02</t>
    </r>
  </si>
  <si>
    <t>Ốp gạch men: DT=(1,2*4,1)*2+5,7*0,2</t>
  </si>
  <si>
    <t>Xối tôn: DT =0.5*8.1</t>
  </si>
  <si>
    <r>
      <t xml:space="preserve">Lê Văn Dậu - Nguyễn Thị Xuân Mai. 91 Nguyễn Sinh Cung, phường Vỹ Dạ, Tp Huế. 0914002124
</t>
    </r>
    <r>
      <rPr>
        <b/>
        <sz val="14"/>
        <color indexed="8"/>
        <rFont val="Times New Roman"/>
        <family val="1"/>
      </rPr>
      <t xml:space="preserve">* Thửa 73, TBĐ 02 </t>
    </r>
  </si>
  <si>
    <r>
      <t xml:space="preserve">Phạm Văn Hòa - Vũ Thị Bích. 05 kiệt 376 Bạch Đằng - phường Gia Hội. 0914366786
</t>
    </r>
    <r>
      <rPr>
        <b/>
        <sz val="14"/>
        <color indexed="8"/>
        <rFont val="Times New Roman"/>
        <family val="1"/>
      </rPr>
      <t>* Thửa 69, TBĐ 02</t>
    </r>
  </si>
  <si>
    <t>Mái che, khung bê tông, mái BTCT có ốp ngói: 
DT =2,4*5,1</t>
  </si>
  <si>
    <r>
      <t xml:space="preserve">Nguyễn Cao Thăng - Đặng Thị Bình An. 114 Nguyễn Huệ, phường Phú Nhuận, Tp Huế. 0914025025 - 0913465111
</t>
    </r>
    <r>
      <rPr>
        <b/>
        <sz val="14"/>
        <color indexed="8"/>
        <rFont val="Times New Roman"/>
        <family val="1"/>
      </rPr>
      <t>* Thửa 51, TBĐ 02</t>
    </r>
  </si>
  <si>
    <r>
      <t xml:space="preserve">Trần Thị Lệ. Lại Thế 2, Phú Thượng, Tp Huế. 0985539001
</t>
    </r>
    <r>
      <rPr>
        <b/>
        <sz val="14"/>
        <color indexed="8"/>
        <rFont val="Times New Roman"/>
        <family val="1"/>
      </rPr>
      <t>* Thửa 67, TBĐ 02</t>
    </r>
  </si>
  <si>
    <r>
      <t xml:space="preserve">Lê Thị Thu Tuyết - Đặng Đình Dũng. Lại Thế 2, phường Phú Thượng, Tp Huế. 0914046361
</t>
    </r>
    <r>
      <rPr>
        <b/>
        <sz val="14"/>
        <color indexed="8"/>
        <rFont val="Times New Roman"/>
        <family val="1"/>
      </rPr>
      <t>* Thửa 48, TBĐ 02</t>
    </r>
  </si>
  <si>
    <r>
      <t xml:space="preserve">Văn Thắng. Vinh An, Phú Vang, Thừa Thiên Huế. 0905511225
</t>
    </r>
    <r>
      <rPr>
        <b/>
        <sz val="14"/>
        <color indexed="8"/>
        <rFont val="Times New Roman"/>
        <family val="1"/>
      </rPr>
      <t>* Thửa 41, TBĐ 02</t>
    </r>
  </si>
  <si>
    <r>
      <t xml:space="preserve">Hoàng Ngọc Gia - Phạm Thị Quỳnh Như. 199 Bà Triệu, phường Xuân Phú, Tp Huế. 0972823777
</t>
    </r>
    <r>
      <rPr>
        <b/>
        <sz val="14"/>
        <color indexed="8"/>
        <rFont val="Times New Roman"/>
        <family val="1"/>
      </rPr>
      <t>* Thửa 34, TBĐ 02</t>
    </r>
  </si>
  <si>
    <r>
      <t xml:space="preserve">Nguyễn Thị Tấn (Trần Xuân Lịch đại diện kê khai). Phú Diên, Phú Vang, Thừa Thiên Huế. 0932009849
</t>
    </r>
    <r>
      <rPr>
        <b/>
        <sz val="14"/>
        <color indexed="8"/>
        <rFont val="Times New Roman"/>
        <family val="1"/>
      </rPr>
      <t>* Thửa 26, TBĐ 02</t>
    </r>
  </si>
  <si>
    <r>
      <t xml:space="preserve">Đoàn Đình Mạnh. 11/30 Hồ Xuân Hương, phường Gia Hội. 0903599104
</t>
    </r>
    <r>
      <rPr>
        <b/>
        <sz val="14"/>
        <color indexed="8"/>
        <rFont val="Times New Roman"/>
        <family val="1"/>
      </rPr>
      <t>* Thửa 30, TBĐ 03</t>
    </r>
  </si>
  <si>
    <r>
      <t xml:space="preserve">Nguyễn Hoàng Hiệp. 11/210 Phan Chu Trinh, phường Phước Vĩnh.
</t>
    </r>
    <r>
      <rPr>
        <b/>
        <sz val="14"/>
        <color indexed="8"/>
        <rFont val="Times New Roman"/>
        <family val="1"/>
      </rPr>
      <t>* Thửa 78, TBĐ 03</t>
    </r>
  </si>
  <si>
    <t>Nguyễn Mạnh Hùng - Công Tằng Tôn Nữ Thanh Tâm. 11/210 Phan Chu Trinh, phường Phước Vĩnh. 0942345454</t>
  </si>
  <si>
    <t>* Tài sản trên đất của ông Nguyễn Hoàng Hiệp (Thửa 78, TBĐ 03)</t>
  </si>
  <si>
    <t>Nhà cấp IV,1 tầng, móng BTCT kết hợp xây gạch đá, cột BTCT, tường gạch, mái tôn, nền gạch men, không có khu phụ: 
DT =6,4*4,05</t>
  </si>
  <si>
    <r>
      <t xml:space="preserve">Miếu làng (Châu Văn Lân - Nguyễn Thị Vân ĐDKK). Lại Thế 1, phường Phú Thượng, Tp Huế. 0913489891
</t>
    </r>
    <r>
      <rPr>
        <b/>
        <sz val="14"/>
        <color indexed="8"/>
        <rFont val="Times New Roman"/>
        <family val="1"/>
      </rPr>
      <t>* Thửa 75, TBĐ 03</t>
    </r>
  </si>
  <si>
    <t>Châu Văn Lân - Nguyễn Thị Vân. Lại Thế 1, phường Phú Thượng, Tp Huế. 0913489891</t>
  </si>
  <si>
    <t>* Tài sản trên đất của Miếu làng (Thửa 75, TBĐ 03)</t>
  </si>
  <si>
    <t>Vieranda (đúc BTCT): KT =0.8*5.2*0.1</t>
  </si>
  <si>
    <t>Be tầng 2 đúc BTCT: KT =0,8*5,2*0,1+0,5*0,1*7,9</t>
  </si>
  <si>
    <t>Nhà cấp III, 2 tầng, khung BTCT, tường gạch, sàn BTCT, mái ngói, nền lát gạch men tầng 1, tầng 2 không gạch men nền:</t>
  </si>
  <si>
    <t>* Tầng 1 lát gạch men: DT=7.1*5.2</t>
  </si>
  <si>
    <t>* Tầng 2 không lát gạch men (Trừ 99000 chênh lệch nền gạch men): DT=7.1*5.2</t>
  </si>
  <si>
    <t>Trần Ngọc Tý. TDP Lại Thế 1, phường Phú Thượng. 0948701700</t>
  </si>
  <si>
    <t>Xối tôn: DT =5,1*0,3</t>
  </si>
  <si>
    <t>Bảng hiệu quảng cáo có đèn: DT =5.1*0.6</t>
  </si>
  <si>
    <t>Trần Văn Hải. TDP Lại Thế 1, phường Phú Thượng. 0905485207</t>
  </si>
  <si>
    <t>Laphong tôn: DT =3.5*4.7</t>
  </si>
  <si>
    <t>Laphong nhựa: DT =(2.0*4.7)+(2.1*1.6)</t>
  </si>
  <si>
    <t>Châu Thanh Minh. TDP Lại Thế 1, phường Phú Thượng, Tp Huế. 0367207962</t>
  </si>
  <si>
    <t>Châu Khắc Trí. TDP Ngọc Anh, phường Phú Thượng. 0969782043</t>
  </si>
  <si>
    <t>Châu Khắc Việt. TDP Ngọc Anh, phường Phú Thượng. 0905563879</t>
  </si>
  <si>
    <r>
      <t xml:space="preserve">Tống Phước Tính - Huỳnh Thị Hộp. Tổ 7, KV5, 91/6 Hàn Mặc Tử, Vỹ Dạ. 0906567756
</t>
    </r>
    <r>
      <rPr>
        <b/>
        <sz val="14"/>
        <color indexed="8"/>
        <rFont val="Times New Roman"/>
        <family val="1"/>
      </rPr>
      <t>* Thửa 35, TBĐ 03</t>
    </r>
  </si>
  <si>
    <r>
      <t xml:space="preserve">Nguyễn Thiên - Lê Thị Vân. Tây Thượng, Phú Thượng, Huế. 0913468301
</t>
    </r>
    <r>
      <rPr>
        <b/>
        <sz val="14"/>
        <color indexed="8"/>
        <rFont val="Times New Roman"/>
        <family val="1"/>
      </rPr>
      <t>* Thửa 06, TBĐ 03</t>
    </r>
  </si>
  <si>
    <r>
      <t xml:space="preserve">Lê Chí Hồng - Huyền Tôn Nữ Thị Phúc. 35 Duy Tân, phường An Cựu, Tp Huế. 0912425157
</t>
    </r>
    <r>
      <rPr>
        <b/>
        <sz val="14"/>
        <color indexed="8"/>
        <rFont val="Times New Roman"/>
        <family val="1"/>
      </rPr>
      <t>* Thửa 97, TBĐ 02</t>
    </r>
  </si>
  <si>
    <t>Sân lát gạch terrazo vỉa hè: DT =3.9*6.6</t>
  </si>
  <si>
    <t>Sân xi măng vỉa hè: DT =6.6*7.2+6.6*7.5</t>
  </si>
  <si>
    <t>Bồi thường đất tín ngưỡng vị trí 01, Đường Quốc Lộ 49A, (đoạn từ Ngã tư Nhất Hồ đến Trụ sở Ủy ban nhân dân phường Phú Thượng)</t>
  </si>
  <si>
    <t>Không bồi thường theo Công văn số 1474/TNMT-GPMB ngày 08/06/2023 của Phòng Tài nguyên và Môi trường</t>
  </si>
  <si>
    <r>
      <t xml:space="preserve">Ngô Đức Thông - Ngô Đức Thái (Đại diện kê khai). TDP Lại Thế 2, phường Phú Thượng, Huế. 0914051525
</t>
    </r>
    <r>
      <rPr>
        <sz val="14"/>
        <color indexed="8"/>
        <rFont val="Times New Roman"/>
        <family val="1"/>
      </rPr>
      <t>* Thửa 45, TBĐ 02</t>
    </r>
  </si>
  <si>
    <t>Hàng rào sắt hộp DT=5,7*1,5+3,4*0,4</t>
  </si>
  <si>
    <t>Hàng rào xây bờ lô kín: DT =5,7*1,5+3,4*2,2</t>
  </si>
  <si>
    <t>Mái che khung bê tông, đổ bê tông, ốp ngói: DT =3,4*0,5</t>
  </si>
  <si>
    <t>Không bồi thường diện tích đất theo Công văn số 1474/TNMT-GPMB ngày 08/06/2023 của Phòng Tài nguyên và Môi trường</t>
  </si>
  <si>
    <t>QĐ 65; PL1; 2.2c, QĐ 36</t>
  </si>
  <si>
    <t>Không bồi thường diện tích đất theo Công văn số 1542/TNMT-GPMB ngày 14/06/2023 Phòng Tài nguyên và Môi trường thành phố Huế</t>
  </si>
  <si>
    <t>Không bồi thường theo Công văn số 1629/TNMT-GPMB ngày 21/06/2023 của Phòng Tài nguyên và Môi trường</t>
  </si>
  <si>
    <t>Diện tích đất bị thu hồi: 48,9</t>
  </si>
  <si>
    <t>Không bồi thường diện tích đất theo Công văn số 1629/TNMT-GPMB ngày 21/06/2023 phòng Tài nguyên và Môi trường</t>
  </si>
  <si>
    <t>Nhà cấp III (nhà từ 2 tầng đến 3 tầng) nhà khung BTCT, móng BTCT, tường gạch, sàn BTCT, mái tôn, nền lát gạch:
DT Tầng 1 =5,1*5,2
DT Tầng 2 =5,1*5,2</t>
  </si>
  <si>
    <t>Không bồi thường diện tích đất theo Công văn số 1730/TNMT-GPMB ngày 29/06/2023 của phòng Tài nguyên và Môi trường</t>
  </si>
  <si>
    <t>3</t>
  </si>
  <si>
    <r>
      <t xml:space="preserve">Nguyễn Văn Tuấn. 215 Phạm Văn Đồng, phường Vỹ Dạ, Huế.
</t>
    </r>
    <r>
      <rPr>
        <sz val="14"/>
        <color indexed="8"/>
        <rFont val="Times New Roman"/>
        <family val="1"/>
      </rPr>
      <t>*Thửa 06, TBĐ 01</t>
    </r>
  </si>
  <si>
    <t>Không được bồi thường theo Công văn số 1446/TNMT-GPMB ngày 07/6/2023 của Phòng Tài nguyên và Môi trường</t>
  </si>
  <si>
    <t>Nhà cấp IV: nhà móng BT, cột BTCT, tường chịu lực xây gạch, mái tôn, nền lát gạch, không có khu phụ: 
DT =2,4*1+2,1*3,1</t>
  </si>
  <si>
    <t>Diện tích đất bị thu hồi: 18,3</t>
  </si>
  <si>
    <t>Diện tích đất bị thu hồi: 100,3</t>
  </si>
  <si>
    <t>Đất ở, vị trí 1 đường Phạm Văn Đồng, loại đường 3C, đoạn từ Tùng Thiện Vương đến Cầu Lại Thế giáp phường Phú Thượng</t>
  </si>
  <si>
    <t>Đất không được bồi thường</t>
  </si>
  <si>
    <t>0</t>
  </si>
  <si>
    <r>
      <t xml:space="preserve">Nguyễn Thị Thuyên (Cái Văn Thanh đại diện). 205 Phạm Văn Đồng, Vỹ Dạ. 0935564627
* </t>
    </r>
    <r>
      <rPr>
        <sz val="14"/>
        <color indexed="8"/>
        <rFont val="Times New Roman"/>
        <family val="1"/>
      </rPr>
      <t>Thửa 24, TBĐ 01</t>
    </r>
  </si>
  <si>
    <t>Không được bồi thường theo Công văn số 1629/TNMT-GPMB ngày 21/6/2023 của Phòng Tài nguyên và Môi trường</t>
  </si>
  <si>
    <t>Không được bồi thường theo Công văn số 1447/TNMT-GPMB ngày 07/6/2023 của Phòng Tài nguyên và Môi trường</t>
  </si>
  <si>
    <t>Hỗ trợ đất nông nghiệp liền kề đất ở, vị trí 1 đường Phạm Văn Đồng, loại đường 3C, đoạn từ Tùng Thiện Vương đến Cầu Lại Thế giáp phường Phú Thượng</t>
  </si>
  <si>
    <t>Đất nông nghiệp liền kề</t>
  </si>
  <si>
    <t>16,2</t>
  </si>
  <si>
    <t>100</t>
  </si>
  <si>
    <t>24</t>
  </si>
  <si>
    <t>Diện tích đất bị thu hồi: 6,9</t>
  </si>
  <si>
    <t>46 m2</t>
  </si>
  <si>
    <t>Bậc cấp xây bờ lô: KT =(4,9*0,3*0,1)*2</t>
  </si>
  <si>
    <t>Ốp đá granit bậc cấp: DT =(4,9*0,4)*2</t>
  </si>
  <si>
    <t>Nền lát gạch terrazo vỉa hè: 
DT =4,2*4,9</t>
  </si>
  <si>
    <t>Nền xi măng vỉa hè: DT =7,4*5,1</t>
  </si>
  <si>
    <t>Bảng hiệu quảng cáo có đèn: DT =5,1*2,2</t>
  </si>
  <si>
    <t>Bảng hiệu alu: DT =1,7*1,7+0,75*2,5+1,4*3,2</t>
  </si>
  <si>
    <t>Hàng rào xây bờ lô kín: DT =0,4*2,5+0,7*1,6</t>
  </si>
  <si>
    <t>Be BTCT: KT =5,1*0,9*0,1</t>
  </si>
  <si>
    <t>Laphong thạch cao: DT =4,9*0,5</t>
  </si>
  <si>
    <r>
      <t xml:space="preserve">Hồ Đình Dung - Huỳnh Thị Châu. Đc Tổ 10, khu vực 5B Vỹ Dạ
</t>
    </r>
    <r>
      <rPr>
        <sz val="14"/>
        <color indexed="8"/>
        <rFont val="Times New Roman"/>
        <family val="1"/>
      </rPr>
      <t>* Thửa 34, TBĐ 01</t>
    </r>
  </si>
  <si>
    <t xml:space="preserve">Không bồi thường theo Công văn số 1567/TNMT-GPMB ngày 15/06/2023 của phòng TNMT </t>
  </si>
  <si>
    <r>
      <t xml:space="preserve">Đỗ Thị Nâu - Phan Văn Tự. TDP Lại Thế 2, phường Phú Thượng, Huế. 0982263963
</t>
    </r>
    <r>
      <rPr>
        <sz val="14"/>
        <color indexed="8"/>
        <rFont val="Times New Roman"/>
        <family val="1"/>
      </rPr>
      <t>*Thửa 38+36, TBĐ 02</t>
    </r>
  </si>
  <si>
    <r>
      <t xml:space="preserve">Nguyễn Đình Hồng. Xã Phú An, Phú Vang, Huế. 0906425522
</t>
    </r>
    <r>
      <rPr>
        <sz val="14"/>
        <rFont val="Times New Roman"/>
        <family val="1"/>
      </rPr>
      <t>* Thửa 77, TBĐ 02</t>
    </r>
  </si>
  <si>
    <r>
      <t xml:space="preserve">Nguyễn Văn Màng - Trần Thị Huệ. 27 Phạm Văn Đồng, Vỹ Dạ, Huế. 0835909666
</t>
    </r>
    <r>
      <rPr>
        <sz val="14"/>
        <rFont val="Times New Roman"/>
        <family val="1"/>
      </rPr>
      <t>* Thửa 77, TBĐ 02</t>
    </r>
  </si>
  <si>
    <r>
      <t xml:space="preserve">Phan Thị Thu Sương. Trung Đông, Phú Thượng, Huế. 0906214105
</t>
    </r>
    <r>
      <rPr>
        <sz val="14"/>
        <rFont val="Times New Roman"/>
        <family val="1"/>
      </rPr>
      <t>* Thửa 11, TBĐ 01</t>
    </r>
  </si>
  <si>
    <t>Không bồi thường diện tích đất theo Công văn số 1630/TNMT-GPMB ngày 21/06/2023 phòng Tài nguyên và Môi trường</t>
  </si>
  <si>
    <t>Bồi thường đất ở vị trí 01, Đường Quốc Lộ 49A, (đoạn từ giáp phường Vỹ Dạ đến Ngã tư Nhất Hồ)</t>
  </si>
  <si>
    <r>
      <t xml:space="preserve">Bằng chữ: </t>
    </r>
    <r>
      <rPr>
        <b/>
        <i/>
        <sz val="16"/>
        <rFont val="Times New Roman"/>
        <family val="1"/>
      </rPr>
      <t>Mười một tỷ, hai trăm ba mươi lăm triệu, hai trăm bốn mươi sáu nghìn đồng</t>
    </r>
  </si>
  <si>
    <r>
      <t xml:space="preserve">Bằng chữ: </t>
    </r>
    <r>
      <rPr>
        <b/>
        <i/>
        <sz val="16"/>
        <rFont val="Times New Roman"/>
        <family val="1"/>
      </rPr>
      <t>Ba tỷ, ba trăm ba mươi ba triệu, sáu trăm tám mươi hai nghìn đồng</t>
    </r>
  </si>
  <si>
    <t>53</t>
  </si>
  <si>
    <r>
      <t xml:space="preserve">Nguyễn Ân Quang - Đặng Thị Thu Hằng (Nguyễn Thị Lê Thanh đại diện). 20 Nguyễn Đỗ Quân, Xuân Phú. 0903527969
</t>
    </r>
    <r>
      <rPr>
        <b/>
        <sz val="14"/>
        <color indexed="8"/>
        <rFont val="Times New Roman"/>
        <family val="1"/>
      </rPr>
      <t>* Thửa 29, TBĐ 03</t>
    </r>
  </si>
  <si>
    <t>Bồi thường đất ở vị trí 01, Đường Quốc Lộ 49A, (đoạn từ giáp phường Vỹ Dạ đến đoạn Ngã tư Nhất Hồ)</t>
  </si>
  <si>
    <t>Cửa sắt hộp: DT =2,6*3</t>
  </si>
  <si>
    <t>Mái che tôn, đỡ sắt, trụ sắt: 
DT =6*8,3</t>
  </si>
  <si>
    <t>Laphong nhựa: DT =4,1*2,8</t>
  </si>
  <si>
    <t>Sân xi măng vỉa hè: DT =5,1*6</t>
  </si>
  <si>
    <t>Sân xi măng: DT =7,3*6</t>
  </si>
  <si>
    <t>Nền gạch men: DT =3,1*4,3</t>
  </si>
  <si>
    <t>Ốp nhôm kính: DT =2*3+1,8*4,3</t>
  </si>
  <si>
    <t>Cửa cuốn: DT =3*3</t>
  </si>
  <si>
    <t>Hàng rào xây bờ lô kín: DT=(4,4*7,7)*2</t>
  </si>
  <si>
    <t>Hộp đèn quảng cáo có đèn: DT =6*1,2</t>
  </si>
  <si>
    <t>Ốp Alu: DT =3*1+4,3*1,2+3*3+0,9*6</t>
  </si>
  <si>
    <t>Ốp đá: DT =(0,4*7,7)*2</t>
  </si>
  <si>
    <t>Trụ BTCT: KT =(0,2*0,2*4,2)*6</t>
  </si>
  <si>
    <t>Hàng rào sắt hộp: DT =0,6*6</t>
  </si>
  <si>
    <t>Mưng d=5: 1 cây</t>
  </si>
  <si>
    <t>Sưa d=10cm: 2 cây</t>
  </si>
  <si>
    <r>
      <t xml:space="preserve">Lê Anh - Đỗ Thị Bay. 110 Phạm Văn Đồng, Vỹ Dạ, Huế. 0968978342
</t>
    </r>
    <r>
      <rPr>
        <sz val="14"/>
        <color indexed="8"/>
        <rFont val="Times New Roman"/>
        <family val="1"/>
      </rPr>
      <t>* Thửa 18, TBĐ 01</t>
    </r>
  </si>
  <si>
    <t>Nhà cấp III (2 tầng), nhà khung BTCT, móng BTCT, tường gạch, sàn BTCT, mái tôn, nền lát gạch:
DTT1 =7,75*4,7
DTT2 =4,55*4,7</t>
  </si>
  <si>
    <t>Nhà cấp IV, nhà móng BT, cột BTCT, tường chịu lực xây gạch, mái tôn, nền lát gạch, không có khu phụ: DT =2,1*4,7</t>
  </si>
  <si>
    <t>Laphong gỗ: DT =4,35*4,5+2*4,5</t>
  </si>
  <si>
    <t>Ốp men tường: DT =10,7*2,6+2,9*2,8+14*0,15</t>
  </si>
  <si>
    <t>Mái che tôn, trụ sắt, đỡ sắt: DT =4,1*4,7+4,7*2,1</t>
  </si>
  <si>
    <t>Ốp men nhà vệ sinh, bếp: DT =(1,6*0,6)*6+5,1*1,8+4,9*1,8</t>
  </si>
  <si>
    <t>Lan can sắt hộp: DT =6,7*0,7+12,1*0,75</t>
  </si>
  <si>
    <t>Be BTCT: KT =4,7*0,9*0,1</t>
  </si>
  <si>
    <t>Khung sắt hỗn hợp: DT =12,1*0,6</t>
  </si>
  <si>
    <t>Sân xi măng vỉa hè: DT =5,4*4,7</t>
  </si>
  <si>
    <t>Hàng rào xây bờ lô kín: DT =(0,8*1,1)*2</t>
  </si>
  <si>
    <r>
      <t xml:space="preserve">Nguyễn Tấn Thưởng - Phan Thị Hợi. 4/43 Thanh Tịnh, Vỹ Dạ, Huế. 0935527898
</t>
    </r>
    <r>
      <rPr>
        <sz val="14"/>
        <color indexed="8"/>
        <rFont val="Times New Roman"/>
        <family val="1"/>
      </rPr>
      <t>* Thửa25, TBĐ 01</t>
    </r>
  </si>
  <si>
    <t>Nhà cấp IV, nhà móng BT, cột BTCT, tường chịu lực xây gạch, mái tôn, nền xi măng, không có khu phụ (trừ 99000 so với đơn giá nền lát gạch): DT =6,7*7,3</t>
  </si>
  <si>
    <t>Mái che tôn, trụ sắt, đỡ sắt: DT =6,7*1,7</t>
  </si>
  <si>
    <t>Bảng hiệu quảng cáo có đèn: DT =1,5*0,9</t>
  </si>
  <si>
    <t>Bảng hiệu quảng cáo tôn: DT =6,5*1,6</t>
  </si>
  <si>
    <t>Bảng hiệu quảng cáo nhựa: DT =(3,6*0,8)*2+4,9*1</t>
  </si>
  <si>
    <t>Sân xi măng vỉa hè: DT =6,7*5,2</t>
  </si>
  <si>
    <t>QĐ 06</t>
  </si>
  <si>
    <t>12</t>
  </si>
  <si>
    <r>
      <t xml:space="preserve">Nguyễn Viết Khinh - Nguyễn Thị Cúc. 106 Phạm Văn Đồng, Vỹ Dạ, Tp Huế. 0906554779
</t>
    </r>
    <r>
      <rPr>
        <sz val="14"/>
        <color indexed="8"/>
        <rFont val="Times New Roman"/>
        <family val="1"/>
      </rPr>
      <t>* Thửa 20, TBĐ 01</t>
    </r>
  </si>
  <si>
    <t>60,6 m2</t>
  </si>
  <si>
    <t>Nhà cấp IV: nhà móng BT, cột BTCT, tường chịu lực xây gạch, mái tôn, nền lát gạch, không có khu phụ: 
DT =8,65*7,4</t>
  </si>
  <si>
    <t>Laphong nhựa: 
DT =6,55*2,9+5,4*2,8+3,9*2,8</t>
  </si>
  <si>
    <t>Ốp tôn: 
DT =6,95*3+6,1*3,5+2,5*1,4</t>
  </si>
  <si>
    <t>Mái che tôn, trụ sắt, đỡ sắt: 
DT =8,65*1,4</t>
  </si>
  <si>
    <t>Cửa cuốn: DT =2,75*3,5</t>
  </si>
  <si>
    <t>Bảng hiệu nhựa: 
DT =3*1+(2,5*0,5)*2+1,5*0,4</t>
  </si>
  <si>
    <t>Sân xi măng vỉa hè: DT =8,65*5,2</t>
  </si>
  <si>
    <t>Cây mưng d=35cm: 2 cây</t>
  </si>
  <si>
    <t>Di chuyển đồng hồ điện: 7m</t>
  </si>
  <si>
    <r>
      <t>Tôn Thất Nguyên Khoa - Nguyễn Thị Diễm Chi. 21 Đống Đa, Phú Nhuận, Tp Huế. 0855211999
*</t>
    </r>
    <r>
      <rPr>
        <sz val="14"/>
        <color indexed="8"/>
        <rFont val="Times New Roman"/>
        <family val="1"/>
      </rPr>
      <t>Thửa 21, TBĐ 01</t>
    </r>
  </si>
  <si>
    <t>Nhà cấp IV, nhà móng xây đá hoặc gạch mái tôn, nền láng vữa xi măng, có khu phụ: 
DT =(3,1*4,55)*0,5</t>
  </si>
  <si>
    <t>Laphong nhựa: 
DT =(2,9*4,35)*0,5</t>
  </si>
  <si>
    <t>Mái che tôn, trụ sắt, đỡ sắt: 
DT =(5,3*1,3)*0,5</t>
  </si>
  <si>
    <t>Nền lát gạch men: 
DT =(5,3*1,2)*0,5</t>
  </si>
  <si>
    <t>Ốp men: DT =9,5*1,6</t>
  </si>
  <si>
    <t>Ốp tôn: DT =5,3*2</t>
  </si>
  <si>
    <t>Hàng rào xây bờ lô kín: 
DT =5,3*1,8</t>
  </si>
  <si>
    <t>14</t>
  </si>
  <si>
    <r>
      <t xml:space="preserve">Nguyễn Văn Sơn. 104 Phạm Văn Đồng, Vỹ Dạ. 0934008138
</t>
    </r>
    <r>
      <rPr>
        <i/>
        <sz val="14"/>
        <color indexed="8"/>
        <rFont val="Times New Roman"/>
        <family val="1"/>
      </rPr>
      <t>* Thửa 22, TBĐ 01</t>
    </r>
  </si>
  <si>
    <t>Nhà cấp IV: nhà móng BTCT, cột BTCT, tường chịu lực xây gạch, mái tôn, nền lát gạch, không có khu phụ: 
DT =6,65*7,25</t>
  </si>
  <si>
    <t>Ốp men tường: 
DT =5,1*0,25+6*0,25+(0,6*3)*2</t>
  </si>
  <si>
    <t>Mái che tôn, trụ sắt, đỡ sắt: 
DT =6,65*1,6</t>
  </si>
  <si>
    <t>Sân xi măng vỉa hè: DT =6,65*5,2</t>
  </si>
  <si>
    <t>Ốp tôn: DT =(0,6*3,2)*2</t>
  </si>
  <si>
    <t>Biển hiệu quảng cáo tôn: 
DT =6,65*1,5</t>
  </si>
  <si>
    <t>Laphong nhựa: 
DT =5,4*6,3+5,4*6,5</t>
  </si>
  <si>
    <t>Be BTCT: 
KT =6,3*0,3*0,15+6,65*0,6*0,15</t>
  </si>
  <si>
    <t>Ốp men tường: 
DT =6,65*0,3+(7,25*1)*2+6,65*2</t>
  </si>
  <si>
    <t>Cửa cuốn: DT =6*3,2</t>
  </si>
  <si>
    <t>Cây trứng cá d=15cm: 1 cây</t>
  </si>
  <si>
    <t>QĐ 11 -B III.57</t>
  </si>
  <si>
    <t>Đất ở, vị trí 2 đường Phạm Văn Đồng, loại đường 3C, đoạn từ Tùng Thiện Vương đến Cầu Lại Thế giáp phường Phú Thượng</t>
  </si>
  <si>
    <r>
      <t xml:space="preserve">Phan Thương - Lê Thị Lối. 209 Phạm Văn Đồng, Vỹ Dạ, Tp Huế. 0822648524
</t>
    </r>
    <r>
      <rPr>
        <sz val="14"/>
        <color indexed="8"/>
        <rFont val="Times New Roman"/>
        <family val="1"/>
      </rPr>
      <t>* Thửa 17, TBĐ 01</t>
    </r>
  </si>
  <si>
    <t>Nhà cấp IV, nhà móng BT, cột BTCT, tường chịu lực xây gạch, mái tôn, nền xi măng, không có khu phụ (trừ 99.000đ chênh lệch nền gạch): 
DT =9,5*6,15</t>
  </si>
  <si>
    <t>Laphong thạch cao: DT =8,5*5,9</t>
  </si>
  <si>
    <t>Be BTCT: KT =0,6*0,15*6,15+0,7*0,15*6,15</t>
  </si>
  <si>
    <t>Sân xi măng vỉa hè: DT =4,9*6,15</t>
  </si>
  <si>
    <t>Bảng hiệu quảng cáo có đèn: 
DT =(3*0,7)*2+6,15*1,6</t>
  </si>
  <si>
    <t>Ốp Alu: DT =6,15*0,8</t>
  </si>
  <si>
    <t>Di chuyển đồng hồ nước: 7,5m</t>
  </si>
  <si>
    <t>08</t>
  </si>
  <si>
    <r>
      <t xml:space="preserve">Hồ Đình Chương - Nguyễn Văn Ngộ. Tổ 15, KV5, phường Vỹ Dạ, Tp Huế. 0935898770
</t>
    </r>
    <r>
      <rPr>
        <sz val="14"/>
        <color indexed="8"/>
        <rFont val="Times New Roman"/>
        <family val="1"/>
      </rPr>
      <t>* Thửa 16, TBĐ 01</t>
    </r>
  </si>
  <si>
    <t>Nhà cấp IV, nhà móng BTCT kết hợp xây gạch đá, cột BTCT, tường gạch, mái tôn, nền lát gạch, có khu phụ: 
DT =5,4*7,85</t>
  </si>
  <si>
    <t>Gác lửng (sàn BTCT): 
DT =5,4*4,75</t>
  </si>
  <si>
    <t>Lan can sắt hộp: DT =9,6*0,9</t>
  </si>
  <si>
    <t>Laphong nhựa: DT =5,2*7,55</t>
  </si>
  <si>
    <t>Ốp đá granit: DT =3,15*0,6+(0,4*0,9)*18+(3,9*0,4)*2</t>
  </si>
  <si>
    <t>Ốp men bếp, nhà vệ sinh: DT =6,2*2,3+3,6*2,8+(0,7*0,5)*12+2,05*0,9</t>
  </si>
  <si>
    <t>Ốp men tường: 
DT =10,6*2,5+11,8*0,15+8,2*0,9</t>
  </si>
  <si>
    <t>Mái che tôn, trụ sắt, đỡ sắt: 
DT =5,4*4,2</t>
  </si>
  <si>
    <t>Nền lát gạch men: DT =5,4*2,7</t>
  </si>
  <si>
    <t>Hàng rào xây bờ lô kín: 
DT =(2,1*3,6)*2+(0,5*1)*2</t>
  </si>
  <si>
    <t>Ốp tôn: DT =(0,9*3,5)*2+5*0,6</t>
  </si>
  <si>
    <t>Ốp men nhà vệ sinh: DT =4*1,8</t>
  </si>
  <si>
    <t>Ốp men tường: 
DT =12,2*0,15+(2,7*0,8)*2</t>
  </si>
  <si>
    <t>Sân xi măng vỉa hè: DT =4,4*5,4</t>
  </si>
  <si>
    <t>Nhà cấp IV, nhà móng BT, cột BTCT, tường chịu lực xây gạch, mái tôn, nền lát gạch, không có khu phụ: DT =5,36*8</t>
  </si>
  <si>
    <t>Ốp men tường: DT =5,35*0,1</t>
  </si>
  <si>
    <t>Sân xi măng vỉa hè: DT =5,35*6,8</t>
  </si>
  <si>
    <r>
      <t xml:space="preserve">Nguyễn Văn Dũng
</t>
    </r>
    <r>
      <rPr>
        <i/>
        <sz val="14"/>
        <color indexed="8"/>
        <rFont val="Times New Roman"/>
        <family val="1"/>
      </rPr>
      <t>* Thửa 06, TBĐ 01</t>
    </r>
  </si>
  <si>
    <t>1</t>
  </si>
  <si>
    <r>
      <t xml:space="preserve">Nguyễn Văn Mãi - Phan Thị Mai. Ngọc Anh, Phú Thượng, Tp Huế. 0877591919
</t>
    </r>
    <r>
      <rPr>
        <sz val="14"/>
        <color indexed="8"/>
        <rFont val="Times New Roman"/>
        <family val="1"/>
      </rPr>
      <t>*Thửa 02, TBĐ 01</t>
    </r>
  </si>
  <si>
    <t>59,8m2</t>
  </si>
  <si>
    <t>Nhà cấp IV, nhà móng BTCT kết hợp xây gạch đá, cột BTCT, tường gạch, mái tôn, nền lát gạch, có khu phụ: 
DT =5,1*9,1</t>
  </si>
  <si>
    <t>Gác lửng gỗ: DT =5,1*8,4</t>
  </si>
  <si>
    <t>Laphong nhựa: DT =6,7*4,8</t>
  </si>
  <si>
    <t>Ốp men tường: DT =11,8*0,9</t>
  </si>
  <si>
    <t>Ốp men bếp, nhà vệ sinh: 
DT =(1,6*0,65)*3+(1,3*0,65)*3+3,6*1</t>
  </si>
  <si>
    <t>Be BTCT: KT =(5,1*0,8*0,15)*2</t>
  </si>
  <si>
    <t>Mái che tôn, trụ BTCT, đỡ sắt: DT =8,4*5,2</t>
  </si>
  <si>
    <t>Nền lát gạch men: DT =5,1*1</t>
  </si>
  <si>
    <t>Nền xi măng: DT =8,4*5,2</t>
  </si>
  <si>
    <t>Nền xi măng vỉa hè: DT =8,4*3,4</t>
  </si>
  <si>
    <t>Bậc cấp xây bờ lô: KT =(1,4*0,3*0,15)*8</t>
  </si>
  <si>
    <t>Bảng hiệu tôn: DT =5,1*1,5</t>
  </si>
  <si>
    <t>Bảng hiệu nhựa: 
DT =(3,6*0,6)*2+1,4*0,8+2,5*1,2</t>
  </si>
  <si>
    <t>Trụ am vừa: 1 trụ</t>
  </si>
  <si>
    <t>Cây bồ đề d=100cm: 1 cây</t>
  </si>
  <si>
    <t>QĐ 11 - III.4</t>
  </si>
  <si>
    <t>Không được bồi thường theo Công văn số 1839/TNMT-GPMB ngày 11/7/2023 của Phòng Tài nguyên và Môi trường</t>
  </si>
  <si>
    <t>2.1</t>
  </si>
  <si>
    <t>2.2</t>
  </si>
  <si>
    <t>2.3</t>
  </si>
  <si>
    <t>2.4</t>
  </si>
  <si>
    <t>2.5</t>
  </si>
  <si>
    <t>2.6</t>
  </si>
  <si>
    <t>59</t>
  </si>
  <si>
    <r>
      <t xml:space="preserve">Đoàn Đại Anh - Võ Thị Khánh Linh. 17B Nguyễn Lộ Trạch, phường Xuân Phú. 0915971508 - 0914620775
</t>
    </r>
    <r>
      <rPr>
        <b/>
        <sz val="14"/>
        <color indexed="8"/>
        <rFont val="Times New Roman"/>
        <family val="1"/>
      </rPr>
      <t>* Thửa 22, TBĐ 03</t>
    </r>
  </si>
  <si>
    <t>Trụ cổng BTCT: KT =(0,5*0,5*2,3)*2</t>
  </si>
  <si>
    <t>Cửa sắt ống: DT =2,6*2,2</t>
  </si>
  <si>
    <t>Nền gạch men: DT =6,6*4,7</t>
  </si>
  <si>
    <t>Hàng rào xây bờ lô kín: DT =8*4</t>
  </si>
  <si>
    <t>Sân xi măng vỉa hè: DT =4*3,6</t>
  </si>
  <si>
    <t>Mái che bạt, trụ sắt, đỡ sắt: 
DT =4,5*4,8</t>
  </si>
  <si>
    <t>Di chuyển đồng hồ nước:6,5m</t>
  </si>
  <si>
    <t>Di chuyển chậu cây cảnh: 20 chậu vừa</t>
  </si>
  <si>
    <t>Trụ BTCT: KT =(0,25*0,25*3,6)*4</t>
  </si>
  <si>
    <t>Lát gạch Tezzaro vỉa hè: DT =2,5*4</t>
  </si>
  <si>
    <t>Bảng hiệu tôn: DT =4*0,8</t>
  </si>
  <si>
    <t>12.1</t>
  </si>
  <si>
    <t>64.4</t>
  </si>
  <si>
    <r>
      <t xml:space="preserve">Nguyễn Thị Đương (ĐDTK của ông Trần Ngọc Xuân). Lại Thế 1, Phú Thượng
</t>
    </r>
    <r>
      <rPr>
        <b/>
        <sz val="14"/>
        <color indexed="8"/>
        <rFont val="Times New Roman"/>
        <family val="1"/>
      </rPr>
      <t>* Thửa 17, TBĐ 03</t>
    </r>
  </si>
  <si>
    <t>Đất ở vị trí 01, Đường Quốc Lộ 49A, (đoạn từ giáp phường Vỹ Dạ đến đoạn Ngã tư Nhất Hồ)</t>
  </si>
  <si>
    <t>64.1</t>
  </si>
  <si>
    <t>Trần Ngọc Thịnh - Nguyễn Thị Ngọc Ánh. Lại Thế 1, phường Phú Thượng. 0702317361</t>
  </si>
  <si>
    <t>* Tài sản trên đất của bà Nguyễn Thị Đương (ĐDTK của ông Trần Ngọc Xuân) (Thửa 17, TBĐ 03)</t>
  </si>
  <si>
    <t>Nhà cấp IV, nhà móng xây đá hoặc gạch, tường gạch, mái tôn, nền láng vữa ximăng, cửa gỗ ván, không có khu phụ: DT =7*3,4</t>
  </si>
  <si>
    <t>Lát gạch men: DT =3,1*3,2</t>
  </si>
  <si>
    <t>Mái che tôn, trụ sắt, đỡ sắt: 
DT =8,9*4,3+1,5*4,3+3,4*1,2</t>
  </si>
  <si>
    <t>Nền xi măng: DT =8,9*4,3</t>
  </si>
  <si>
    <t>Nền xi măng vỉa hè: DT =7,7*4,5</t>
  </si>
  <si>
    <t>Bảng hiệu quảng cáo nhựa: DT =4,3*3</t>
  </si>
  <si>
    <t>Cửa sắt hỗn hợp: DT =4.3*3.0</t>
  </si>
  <si>
    <t>64.2</t>
  </si>
  <si>
    <t>Trần Ngọc Phước. Lại Thế 1, phường Phú Thượng. 0905880917</t>
  </si>
  <si>
    <t>Nhà cấp IV, nhà móng BTCT kết hợp xây gạch đá, cột BTCT, tường gạch, mái tôn, nền lát gạch, có khu phụ: 
DT =3,5*8,5</t>
  </si>
  <si>
    <t>Laphong tôn: DT =6,5*3,3+5,8*3,3</t>
  </si>
  <si>
    <t>Gác lửng gỗ: DT =6*3,5</t>
  </si>
  <si>
    <t>KIỂM TRA LẠI TỈ LỆ</t>
  </si>
  <si>
    <t>Khung sắt hộp: DT =3.5*0.8</t>
  </si>
  <si>
    <t>Lan can sắt hộp: DT =13,5*1</t>
  </si>
  <si>
    <t>Sân lát gạch tezzaro vỉa hè: DT =0,9*3,5</t>
  </si>
  <si>
    <t>Sân xi măng vỉa hè: DT =4.5*3.5</t>
  </si>
  <si>
    <t>Mái che tôn, đỡ sắt, trụ sắt: 
DT =3,5*1</t>
  </si>
  <si>
    <t>Ốp Alu: DT =3,5*1</t>
  </si>
  <si>
    <t>64.3</t>
  </si>
  <si>
    <t>Nguyễn Thị Dục. Lại Thế 1, phường Phú Thượng. 0987718415</t>
  </si>
  <si>
    <t>Nhà cấp III (1 tầng), nhà khung BTCT chịu lực, móng BTCT, tường gạch, mái tôn, nền lát gạch: DT =4,2*10,9</t>
  </si>
  <si>
    <t>QĐ 65; PL1; 2.1b</t>
  </si>
  <si>
    <t>Laphong nhựa: DT =4,1*10,6</t>
  </si>
  <si>
    <t>Gác lửng: DT =5,8*4,2</t>
  </si>
  <si>
    <t>KT LẠI TỈ LỆ</t>
  </si>
  <si>
    <t>Ốp lambri tường: 
DT =19,7*0,9+2,9*0,9</t>
  </si>
  <si>
    <t>GÔ HAY MEN</t>
  </si>
  <si>
    <t>Ốp gạch men tường: DT =0,8*3</t>
  </si>
  <si>
    <t>Lan can gỗ: DT =8,5*1,1</t>
  </si>
  <si>
    <t>Ốp tôn chống thấm: DT =10,9*6+5,1*3</t>
  </si>
  <si>
    <t>Be BTCT: KT =0,3*4,2*0,1+0,6*4,2*0,1</t>
  </si>
  <si>
    <t>Bậc cấp xây bờ lô: KT =3*0,2*0,3</t>
  </si>
  <si>
    <t>Ốp men bậc cấp: DT =3*0,3</t>
  </si>
  <si>
    <t>Ốp đá granit: DT =3*0,4+2,4*0,6</t>
  </si>
  <si>
    <t>Ốp men bếp, nhà vệ sinh: DT =3,7*0,9+7,5*2,4</t>
  </si>
  <si>
    <t>Sân xi măng vỉa hè: DT =4,9*4,2</t>
  </si>
  <si>
    <t>119</t>
  </si>
  <si>
    <r>
      <t xml:space="preserve">Nhà thờ họ Võ (Võ Đắc Lô ĐDKK). TDP Ngọc Anh, phường Phú Thượng, Tp Huế. 0935542668
</t>
    </r>
    <r>
      <rPr>
        <b/>
        <sz val="14"/>
        <color indexed="8"/>
        <rFont val="Times New Roman"/>
        <family val="1"/>
      </rPr>
      <t>* Thửa 58, TBĐ 02</t>
    </r>
  </si>
  <si>
    <t>Trụ BTCT: KT =(0,15*0,15*2)*12</t>
  </si>
  <si>
    <t>Lưới B40: DT =34,5*2,5+8,4*2,5</t>
  </si>
  <si>
    <t>Cây mưng d=30cm: 3 cây</t>
  </si>
  <si>
    <t>Chuối thu hoạch: 51 cây</t>
  </si>
  <si>
    <t>Ổi thu hoạch d=5-10cm: 88 cây</t>
  </si>
  <si>
    <t>Cây mãng cầu d=10cm: 1 cây</t>
  </si>
  <si>
    <t>Cây môn: 68m2</t>
  </si>
  <si>
    <t>QĐ 11 -A.25</t>
  </si>
  <si>
    <t>68</t>
  </si>
  <si>
    <r>
      <t xml:space="preserve">Vũ Thị Thủy. 7/27 Nguyễn Sinh Cung, Vỹ Dạ, Tp Huế. 0832711488
</t>
    </r>
    <r>
      <rPr>
        <sz val="14"/>
        <color indexed="8"/>
        <rFont val="Times New Roman"/>
        <family val="1"/>
      </rPr>
      <t>* Thửa 13, TBĐ 03</t>
    </r>
  </si>
  <si>
    <t>Laphong tôn: DT =9,3*3,8</t>
  </si>
  <si>
    <t>Khối xây bờ lô: KT =1,5*2,2*0,2</t>
  </si>
  <si>
    <t>Di chuyển đường ống nước nhựa d&lt;40cm: 10m</t>
  </si>
  <si>
    <t>Hoa sữa d=40cm: 1 cây</t>
  </si>
  <si>
    <t>Xoài d=40: 1 cây</t>
  </si>
  <si>
    <t>68A</t>
  </si>
  <si>
    <r>
      <t xml:space="preserve">Lê Thị Lan Anh (Vũ Thị Thủy Đại Diện Kê Khai). 7/27 Nguyễn Sinh Cung, phường Vỹ Dạ, Tp Huế. 0832711488
</t>
    </r>
    <r>
      <rPr>
        <sz val="14"/>
        <color indexed="8"/>
        <rFont val="Times New Roman"/>
        <family val="1"/>
      </rPr>
      <t>* Thửa 11, TBĐ 03</t>
    </r>
  </si>
  <si>
    <t>Nhà cấp IV, nhà móng xây đá hoặc gạch, tường gạch, mái tôn, nền lát gạch có khu phụ: DT =6,1*4,75</t>
  </si>
  <si>
    <t>Laphong thạch cao: DT =8*4,55</t>
  </si>
  <si>
    <t>Mái che tôn, đỡ sắt, trụ BTCT: DT =2,2*4,75+8,3*1,5</t>
  </si>
  <si>
    <t>Ốp alu: DT =1,2*6,25</t>
  </si>
  <si>
    <t>Biển hiệu quảng cáo tôn: DT =6,25*1,5</t>
  </si>
  <si>
    <t>Sân xi măng: DT =8,6*1,5</t>
  </si>
  <si>
    <t>Cửa sắt hộp: DT =1,5*1,7</t>
  </si>
  <si>
    <t>Trụ BTCT: KT =0,22*0,22*1,9</t>
  </si>
  <si>
    <t>Be đổ BTCT: KT =0,85*1,7*0,15</t>
  </si>
  <si>
    <t>Ốp tôn: DT =(2,2*2,5)*2</t>
  </si>
  <si>
    <t>Hàng rào xây bờ lô kín: DT =4,4*1,4</t>
  </si>
  <si>
    <t>Xối inox: DT =6,5*0,4</t>
  </si>
  <si>
    <r>
      <t xml:space="preserve">Nguyễn Đình Văn Thanh. Thái Dương Thương Đông, Hải Dương, Tp Huế. 0946802611
</t>
    </r>
    <r>
      <rPr>
        <sz val="14"/>
        <color indexed="8"/>
        <rFont val="Times New Roman"/>
        <family val="1"/>
      </rPr>
      <t>* Thửa 13, TBĐ 03</t>
    </r>
  </si>
  <si>
    <t>Tài sản xây dựng trên đất của bà Vũ Thị Thủy (thửa đất số 13, TBĐ 03)</t>
  </si>
  <si>
    <t>Biển hiệu quảng cáo có đèn: 
DT =4,9*4</t>
  </si>
  <si>
    <t>Ốp nhựa: DT =3,1*2,3+(3,5*3,2)*2</t>
  </si>
  <si>
    <t>Ốp Inox: 
DT =4,9*1+3*0,3+(1*3,5)*2</t>
  </si>
  <si>
    <t>Cửa nhôm kính: DT =3*3,3</t>
  </si>
  <si>
    <t>Hàng rào sắt hộp: DT =4,5*2</t>
  </si>
  <si>
    <t>Đất ở vị trí 01, Đường Quốc Lộ 49A, (đoạn từ Giáp phường Vỹ Dạ đến Ngã tư Nhất Hồ)</t>
  </si>
  <si>
    <t>Không bồi thường theo Công văn số 1730/TNMT-GPMB ngày 29/06/2023 của Phòng Tài nguyên và Môi trường</t>
  </si>
  <si>
    <t>68C</t>
  </si>
  <si>
    <t>Nguyễn Thị Hà. Đ/c: 11/4/147 Phan Đình Phùng, Phú Nhuận</t>
  </si>
  <si>
    <r>
      <t xml:space="preserve">Các đồng thừa kế của ông Võ Đắc Đồng (Võ Đắc Lô ĐDKK). TDP Lại Thế 2, phường Phú Thượng, Tp Huế. 0935542668
</t>
    </r>
    <r>
      <rPr>
        <sz val="14"/>
        <color indexed="8"/>
        <rFont val="Times New Roman"/>
        <family val="1"/>
      </rPr>
      <t>* Thửa 42, TBĐ 02</t>
    </r>
  </si>
  <si>
    <t>Bồi thường đất ở vị trí 01, Đường Quốc Lộ 49A, (đoạn từ Ngã tư Nhất Hồ đến trụ sở UBND phường Phú Thượng)</t>
  </si>
  <si>
    <t xml:space="preserve"> Không đủ điều kiện bồi thường (Theo công văn số 1837/TNMT-GPMB ngày 10/7/2023 của phòng Tài nguyên và Môi trường thành phố Huế)</t>
  </si>
  <si>
    <t>51</t>
  </si>
  <si>
    <t>Trần Quý - Trần Thị Hoa. 0914125126. Lại Thế 1, Phú Thượng.
* Thửa 31, TBĐ 03</t>
  </si>
  <si>
    <t>Đất ở loại đuờng Quốc lộ 49A  vị trí 01 (đoạn từ giáp phường Vỹ Dạ đến Ngã tư Nhất Hồ)</t>
  </si>
  <si>
    <t>Mái hiên liền nhà cấp III, 01 tầng, nhà khung btct, móng btct kết hợp gạch đá, tường gạch, sàn btct, nền lát gạch:
DT=2,65*4,9</t>
  </si>
  <si>
    <t>PL1; 1-2.1a;
QĐ 65</t>
  </si>
  <si>
    <t>Trụ btct: KT=(0,56*0,56*2)*2</t>
  </si>
  <si>
    <t>BỔ SUNG KT TRONG BBKK</t>
  </si>
  <si>
    <t>Sân xi măng vỉa hè DT=5,3*8,5</t>
  </si>
  <si>
    <t>Sân terazo DT=7*8,9+2,7*4,3</t>
  </si>
  <si>
    <t>Hàng rào blo kín DT=10,5*0,6+12,9*0,6</t>
  </si>
  <si>
    <t>Cửa sắt hỗn hợp DT=2,9*1,7</t>
  </si>
  <si>
    <t>Hàng rào sắt hỗn hợp: DT=10,5*1,2+12,9*1,2</t>
  </si>
  <si>
    <t>Trụ btct: KT=(0,16*0,16*1,2)*7</t>
  </si>
  <si>
    <t>Trụ am lớn: 02 cái</t>
  </si>
  <si>
    <t>Be btct: KT=0,6*4,9*0,25+0,6*3,25*0,25</t>
  </si>
  <si>
    <t>Mái che tôn, trụ đỡ sắt: DT=3,9*4,4</t>
  </si>
  <si>
    <t>Nhãn d=30cm: 01 cây</t>
  </si>
  <si>
    <t>QĐ 35, B-II.3</t>
  </si>
  <si>
    <t>Cây</t>
  </si>
  <si>
    <t>Mưng d=30cm: 01 cây</t>
  </si>
  <si>
    <t>QĐ 35, B-IV.1</t>
  </si>
  <si>
    <t>Hoa hồng 04 bụi</t>
  </si>
  <si>
    <t>QĐ 35, B-II.6</t>
  </si>
  <si>
    <t>Hàng rào blo kín: DT=13*0,15</t>
  </si>
  <si>
    <t>Di chuyển chậu: 06 chậu to</t>
  </si>
  <si>
    <t>QĐ 35 - PL B -IV.2</t>
  </si>
  <si>
    <t>Di chuyển chậu: 32 chậu vừa</t>
  </si>
  <si>
    <t>Cây lựu: 01 cây</t>
  </si>
  <si>
    <t>QĐ 35, B-II.14</t>
  </si>
  <si>
    <t>Cây lài: 01 cây</t>
  </si>
  <si>
    <t>Cây cảnh trồng trên đất: 47 cây</t>
  </si>
  <si>
    <t>Di chuyển nước d&lt;40cm: 10 m</t>
  </si>
  <si>
    <t>Nhà cấp IV, móng BT, cột BTCT, tường gạch, mái tôn, nền lát gạch, có khu phụ:
DT=7,9*6,7</t>
  </si>
  <si>
    <t>QĐ 65; PL1; '3.2a</t>
  </si>
  <si>
    <t>Mái che tôn, trụ đỡ sắt DT=2,4*8</t>
  </si>
  <si>
    <t>Ốp men: DT=(3,1*1)*2</t>
  </si>
  <si>
    <t>Laphong nhựa DT=3,4*5,6</t>
  </si>
  <si>
    <t>Sân xi măng vỉa hè: DT=4,9*11,5</t>
  </si>
  <si>
    <t>Sân xi măng DT=2,2*11</t>
  </si>
  <si>
    <t>Hàng rào sắt hỗn hợp DT=2,5*1,2</t>
  </si>
  <si>
    <t>B40:   DT=2,5*1,2</t>
  </si>
  <si>
    <t>Bảng hiệu quảng cáo có đèn: DT=1*1,5</t>
  </si>
  <si>
    <t>Phượng d=30cm: 01 cây</t>
  </si>
  <si>
    <t>QĐ 35, B-III.43b</t>
  </si>
  <si>
    <t>Chuối thu hoạch: 02 cây</t>
  </si>
  <si>
    <t>QĐ 35, B-I.1</t>
  </si>
  <si>
    <t>Trụ btct: KT=0,1*0,1*1,8</t>
  </si>
  <si>
    <t>137</t>
  </si>
  <si>
    <t>Phạm Văn Hiền - Dương Thị Thủy. 0905551245, Lại Thế, Phú Thượng
* Thửa 40, TBĐ 02</t>
  </si>
  <si>
    <t>Đất ở loại đuờng Quốc lộ 49A  vị trí 01 (đoạn từ phường Vỹ Dạ Ngã tư Nhất Hồ)</t>
  </si>
  <si>
    <t>Không đủ điều kiện bồi thường theo Công văn số 965/TNMT-GPMB ngày 24/04/2023</t>
  </si>
  <si>
    <t>Nhà cấp IV, móng BTCT kết hợp xây gạch đá, cột btct, tường gạch, mái tôn, nền gạch, không khu phụ:
DT=4,7*3</t>
  </si>
  <si>
    <t>QĐ 65; PL1; '3.1b</t>
  </si>
  <si>
    <t>Mái che tôn, trụ BTCT, đỡ sắt DT=5,5*6,3</t>
  </si>
  <si>
    <t>Sân gạch men: DT=5*6,3</t>
  </si>
  <si>
    <t>Sân xi măng vỉa hè: DT=5*6,3</t>
  </si>
  <si>
    <t>Sân terazo: DT=1,2*3</t>
  </si>
  <si>
    <t>Be btct: KT=0,6*1,4</t>
  </si>
  <si>
    <t>Ốp men tường: DT=8,4*0,1+2*4+1,3*2,4+2,65*0,6</t>
  </si>
  <si>
    <t>Ốp đá: DT=4*0,5</t>
  </si>
  <si>
    <t>Laphong nhựa DT=4,5*2,8</t>
  </si>
  <si>
    <t>Bậc cấp xây blo: KT=4*0,35*0,15</t>
  </si>
  <si>
    <t>Mái che tôn, trụ đỡ sắt DT=1,2*3</t>
  </si>
  <si>
    <t>Cửa sắt hộp: DT=2*2,2</t>
  </si>
  <si>
    <t>Mưng d=25cm: 01 cây</t>
  </si>
  <si>
    <t>Mưng d=35cm: 01 cây</t>
  </si>
  <si>
    <t>Di chuyển ống nước d&lt;40cm: 7 m</t>
  </si>
  <si>
    <t>Di chuyển điện: 7 m</t>
  </si>
  <si>
    <t>79</t>
  </si>
  <si>
    <t>Phạm Văn Lành - Nguyễn Thị Sâm. 0938449264, Lại Thế 1, Phú Thượng.
* Thửa 100, TBĐ 02</t>
  </si>
  <si>
    <t xml:space="preserve">Nhà cấp III (02 tầng), khung BTCT, móng BTCT,  tường gạch, sàn BTCT, nền lát gạch, mái tôn: </t>
  </si>
  <si>
    <t>- Tầng 1: DT=4*3</t>
  </si>
  <si>
    <t>QĐ 65; PL1; 1-2.2a</t>
  </si>
  <si>
    <t>- Tầng 2: DT=4*3</t>
  </si>
  <si>
    <t>Mái che tôn, trụ BTCT, đỡ sắt: DT=6*4,4</t>
  </si>
  <si>
    <t>Sân gạch men: DT=5*4,4</t>
  </si>
  <si>
    <t>Cửa sắt kéo: DT=3,6*3</t>
  </si>
  <si>
    <t>Ốp men tường: DT=0,15*8,1+2,3*3,6+2,7*0,6+3,8*1,2+10,6*0,12</t>
  </si>
  <si>
    <t>Hàng rào blo kín: DT=3,5*1,9</t>
  </si>
  <si>
    <t>Khung sắt hộp: DT=3*0,3</t>
  </si>
  <si>
    <t>QĐ 65; PL2; XIV-2</t>
  </si>
  <si>
    <t>Cửa cuốn: DT=4,9*3,6</t>
  </si>
  <si>
    <t>Ban công liền nhà cấp III: DT=1,2*4</t>
  </si>
  <si>
    <t>QĐ 65; PL1; 1-2.2c</t>
  </si>
  <si>
    <t>Sân xi măng vỉa hè: DT=6*4,4</t>
  </si>
  <si>
    <t>Ốp tôn: DT=0,5*4,4</t>
  </si>
  <si>
    <t>m2</t>
  </si>
  <si>
    <t>Laphong nhựa: DT=3,8*2,9</t>
  </si>
  <si>
    <t>Be btct: KT=0,4*3*0,1+1*4,2*0,1</t>
  </si>
  <si>
    <t>Ốp tôn: DT=4*1,2</t>
  </si>
  <si>
    <t>Lan can sắt hộp DT=6,3*0,85</t>
  </si>
  <si>
    <t>Trụ am vừa: 01 trụ</t>
  </si>
  <si>
    <t>Di chuyển điện: 07m</t>
  </si>
  <si>
    <t>Di chuyển ống nước d&lt;40: 07m</t>
  </si>
  <si>
    <t>65</t>
  </si>
  <si>
    <t>Huỳnh Minh Quang - Hồ Thị Lan. 0935967007, 19/95 kiệt 7 Ưng Bình, p Vỹ Dạ, tp Huế
* Thửa 16, TBĐ 03</t>
  </si>
  <si>
    <t>Nhà cấp IV, móng btct kết hợp xây gạch đá, cột btct, tường gạch, mái tôn, nền gạch, không khu phụ:
DT=6,8*8,75</t>
  </si>
  <si>
    <t>Laphong nhựa: DT=6,6*8,55</t>
  </si>
  <si>
    <t>Cửa cuốn: DT=6,55*3</t>
  </si>
  <si>
    <t>Sân xi măng vỉa hè: DT=6,8*4,5</t>
  </si>
  <si>
    <t>Cây mưng d=20cm: 01 cây</t>
  </si>
  <si>
    <t>Di chuyển chậu: 11 chậu</t>
  </si>
  <si>
    <t>Be btct: KT=1*6,8*0,2</t>
  </si>
  <si>
    <t>Mái che tôn, trụ đỡ sắt DT=1,3*6,8</t>
  </si>
  <si>
    <t>Ốp đá: DT=6,8*0,2+(0,85*3)*2</t>
  </si>
  <si>
    <t>Bảng hiệu quảng cáo có đèn: DT=6*1,8</t>
  </si>
  <si>
    <t>Di chuyển nước: 7 m</t>
  </si>
  <si>
    <t>17</t>
  </si>
  <si>
    <t>Nguyễn Văn Pháp (ĐDKK nhà thời phái 4 họ Nguyễn). 0913425004, Ngọc Anh, Phú Thượng, Tp Huế
* Thửa số 66, TBĐ 03, thu hồi 422 m2</t>
  </si>
  <si>
    <t>Đất tín ngưỡng 60% giá đất ở loại  đường Quốc lộ 49A vị trí 01 (Giáp phường Vỹ Dạ đến Ngã tư Nhất Hồ)</t>
  </si>
  <si>
    <t>Nhà cấp IV, móng bt, tường blo, mái tôn, nền xi măng, không khu phụ:
DT=7,4*10,6</t>
  </si>
  <si>
    <t>QĐ 65; PL1; 1-3.3b</t>
  </si>
  <si>
    <t>Laphong thạch cao DT=9*6,8</t>
  </si>
  <si>
    <t>Mái che tôn, trụ btct, đỡ sắt: DT=10,6*2,7</t>
  </si>
  <si>
    <t>Hàng rào blo kín DT=1,2*1,6+2*3,2</t>
  </si>
  <si>
    <t>Nền xi măng DT=1,6*10,6</t>
  </si>
  <si>
    <t>Hàng rào sắt hộp DT=6,6*0,4+4,5*3,3+3,6*2,4</t>
  </si>
  <si>
    <t>B40 DT=1,2*1,6</t>
  </si>
  <si>
    <t>Nền xi măng vỉa hè  DT=4,5*10,6</t>
  </si>
  <si>
    <t>Bảng hiệu quảng cáo có đèn DT=2,2*10,6+0,6*0,4</t>
  </si>
  <si>
    <t>Ốp tôn: DT=3,5*0,5</t>
  </si>
  <si>
    <t>Cây mưng d=25cm: 01 cây</t>
  </si>
  <si>
    <t>Cây mưng d=10cm: 01 cây</t>
  </si>
  <si>
    <t>Cây mưng d=5cm: 01 cây</t>
  </si>
  <si>
    <t>Ốp men: DT=6,6*8,2</t>
  </si>
  <si>
    <t>Ốp alu: DT=2,4*1,4</t>
  </si>
  <si>
    <t>*</t>
  </si>
  <si>
    <t>Nhà thờ</t>
  </si>
  <si>
    <t>Trụ cổng BT: KT=0,5*0,5*2,2*2</t>
  </si>
  <si>
    <t>m3</t>
  </si>
  <si>
    <t>Hàng rào lam thoáng DT=6,4*1,75</t>
  </si>
  <si>
    <t>Cửa sắt hỗn hợp  DT=3,6*1,6</t>
  </si>
  <si>
    <t>Nền terazo DT=11,3*7,5</t>
  </si>
  <si>
    <t>Trụ am lớn: 01 cái</t>
  </si>
  <si>
    <t>Be đúc BTCT: KT=2,1*1,3*0,22</t>
  </si>
  <si>
    <t>Ốp men DT=1,3*1,3+2*1,3</t>
  </si>
  <si>
    <t>Trụ btct  KT=0,1*0,1*1,75*2</t>
  </si>
  <si>
    <t>Be BTCT: KT=1,25*1,4*0,1</t>
  </si>
  <si>
    <t>Nền xi măng vỉa hè  DT=4,6*10,4</t>
  </si>
  <si>
    <t>Cây mưng d=30cm: 01 cây</t>
  </si>
  <si>
    <t>Nhà cấp IV, móng xây đá gạch, tường blo, mái tôn, nền xi măng, có khu phụ:
DT=9,1*9,1</t>
  </si>
  <si>
    <t>QĐ 65; PL1; 1-3.3a</t>
  </si>
  <si>
    <t>Nền gạch men: DT=2,1*3,2+4*4,2+4,8*8,8+4*1,6+7*1,2+9,1*0,2</t>
  </si>
  <si>
    <t>Ốp đá granit DT=1*1,8+1,5*0,7+2*0,5</t>
  </si>
  <si>
    <t>Laphong tôn: DT=4,8*8,8+4*4,2</t>
  </si>
  <si>
    <t>Sân xi măng vỉa hè DT=4,5*9,1</t>
  </si>
  <si>
    <t>Mái che tôn, trụ sắt DT=9,1*1,2</t>
  </si>
  <si>
    <t>Nhà cấp IV, móng BT, cột BTCT, tường chịu lực xây gạch, mái tôn, nền xi măng, không khu phụ: (trừ 99.000đ chênh lệch nền gạch)
DT=5*9,9</t>
  </si>
  <si>
    <t>Nhà cấp IV, móng xây gạch đá, tường gạch, mái tôn, nền xi măng, cửa ván gỗ, không khu phụ:
DT=6,1*9,2</t>
  </si>
  <si>
    <t>Nền xi măng vỉa hè DT=9,8*4,7+4,7*11,1</t>
  </si>
  <si>
    <t>Mái che tôn, trụ đỡ sắt DT=1,2*11,1</t>
  </si>
  <si>
    <t>Nhà cấp IV, móng xây gạch đá, tường gạch, mái tôn, nền gạch, không khu phụ: (cộng 99.000đ chênh lệch nền gạch)
DT=3,3*9</t>
  </si>
  <si>
    <t>Ốp men: DT=14,7*1,5</t>
  </si>
  <si>
    <t>Nhà cấp IV, móng xây gạch đá, tường gạch, mái tôn, nền gạch, có khu phụ: (cộng 99.000đ chênh lệch nền gạch)
DT=6,5*8,2</t>
  </si>
  <si>
    <t>QĐ 65; PL1; '3.3a</t>
  </si>
  <si>
    <t>Laphong tôn DT=6,6*6,2</t>
  </si>
  <si>
    <t>Mưng d=15cm: 03 cây</t>
  </si>
  <si>
    <t>Di chuyển nước 8 m</t>
  </si>
  <si>
    <t>Di chuyển điện 8 m</t>
  </si>
  <si>
    <t>19.1</t>
  </si>
  <si>
    <t>27.1</t>
  </si>
  <si>
    <t>27.2</t>
  </si>
  <si>
    <t>27.3</t>
  </si>
  <si>
    <t>73.1</t>
  </si>
  <si>
    <t>73.2</t>
  </si>
  <si>
    <t>73.3</t>
  </si>
  <si>
    <t>73.4</t>
  </si>
  <si>
    <t>73.5</t>
  </si>
  <si>
    <t>73.6</t>
  </si>
  <si>
    <r>
      <t xml:space="preserve">Bằng chữ: </t>
    </r>
    <r>
      <rPr>
        <b/>
        <i/>
        <sz val="16"/>
        <rFont val="Times New Roman"/>
        <family val="1"/>
      </rPr>
      <t>Bốn mươi ba tỷ, một trăm mười chín triệu, bảy trăm bốn mươi sáu nghìn đồng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</si>
</sst>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_(* #,##0_);_(* \(#,##0\);_(* &quot;-&quot;??_);_(@_)"/>
    <numFmt numFmtId="166" formatCode="0.0"/>
    <numFmt numFmtId="167" formatCode="0.0%"/>
    <numFmt numFmtId="168" formatCode="0.000"/>
    <numFmt numFmtId="169" formatCode="_(* #,##0.0_);_(* \(#,##0.0\);_(* &quot;-&quot;??_);_(@_)"/>
    <numFmt numFmtId="170" formatCode="_(* #,##0.000_);_(* \(#,##0.000\);_(* &quot;-&quot;??_);_(@_)"/>
    <numFmt numFmtId="171" formatCode="#,##0.0"/>
  </numFmts>
  <fonts count="55" x14ac:knownFonts="1">
    <font>
      <sz val="11"/>
      <color theme="1"/>
      <name val="Calibri"/>
      <family val="2"/>
      <scheme val="minor"/>
    </font>
    <font>
      <sz val="11"/>
      <color indexed="8"/>
      <name val="Calibri"/>
      <family val="2"/>
    </font>
    <font>
      <sz val="13"/>
      <name val="Times New Roman"/>
      <family val="1"/>
    </font>
    <font>
      <i/>
      <sz val="14"/>
      <color indexed="8"/>
      <name val="Times New Roman"/>
      <family val="1"/>
    </font>
    <font>
      <sz val="14"/>
      <color indexed="8"/>
      <name val="Times New Roman"/>
      <family val="1"/>
    </font>
    <font>
      <b/>
      <sz val="14"/>
      <name val="Times New Roman"/>
      <family val="1"/>
    </font>
    <font>
      <vertAlign val="superscript"/>
      <sz val="14"/>
      <color indexed="8"/>
      <name val="Times New Roman"/>
      <family val="1"/>
    </font>
    <font>
      <sz val="12"/>
      <name val="Times New Roman"/>
      <family val="1"/>
    </font>
    <font>
      <sz val="14"/>
      <name val="Times New Roman"/>
      <family val="1"/>
    </font>
    <font>
      <sz val="11"/>
      <name val="Times New Roman"/>
      <family val="1"/>
    </font>
    <font>
      <b/>
      <sz val="14"/>
      <color indexed="8"/>
      <name val="Times New Roman"/>
      <family val="1"/>
    </font>
    <font>
      <vertAlign val="superscript"/>
      <sz val="14"/>
      <color indexed="10"/>
      <name val="Times New Roman"/>
      <family val="1"/>
    </font>
    <font>
      <vertAlign val="superscript"/>
      <sz val="14"/>
      <name val="Times New Roman"/>
      <family val="1"/>
    </font>
    <font>
      <sz val="11"/>
      <name val="Times New Roman"/>
      <family val="1"/>
      <charset val="163"/>
    </font>
    <font>
      <sz val="11"/>
      <color indexed="8"/>
      <name val="Times New Roman"/>
      <family val="1"/>
    </font>
    <font>
      <vertAlign val="superscript"/>
      <sz val="11"/>
      <color indexed="8"/>
      <name val="Times New Roman"/>
      <family val="1"/>
    </font>
    <font>
      <sz val="10"/>
      <name val="Times New Roman"/>
      <family val="1"/>
    </font>
    <font>
      <b/>
      <sz val="16"/>
      <name val="Times New Roman"/>
      <family val="1"/>
    </font>
    <font>
      <b/>
      <vertAlign val="superscript"/>
      <sz val="14"/>
      <color indexed="8"/>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theme="1"/>
      <name val="Times New Roman"/>
      <family val="1"/>
    </font>
    <font>
      <sz val="14"/>
      <color theme="1"/>
      <name val="Times New Roman"/>
      <family val="1"/>
    </font>
    <font>
      <i/>
      <sz val="14"/>
      <color theme="1"/>
      <name val="Times New Roman"/>
      <family val="1"/>
    </font>
    <font>
      <sz val="11"/>
      <color theme="1"/>
      <name val="Times New Roman"/>
      <family val="1"/>
    </font>
    <font>
      <sz val="14"/>
      <color rgb="FF000000"/>
      <name val="Times New Roman"/>
      <family val="1"/>
    </font>
    <font>
      <vertAlign val="superscript"/>
      <sz val="14"/>
      <color theme="1"/>
      <name val="Times New Roman"/>
      <family val="1"/>
    </font>
    <font>
      <sz val="14"/>
      <color rgb="FFFF0000"/>
      <name val="Times New Roman"/>
      <family val="1"/>
    </font>
    <font>
      <b/>
      <sz val="14"/>
      <color rgb="FFFF0000"/>
      <name val="Times New Roman"/>
      <family val="1"/>
    </font>
    <font>
      <sz val="14"/>
      <color rgb="FFFF0000"/>
      <name val="Calibri"/>
      <family val="2"/>
      <scheme val="minor"/>
    </font>
    <font>
      <sz val="14"/>
      <color theme="1"/>
      <name val="Calibri"/>
      <family val="2"/>
      <scheme val="minor"/>
    </font>
    <font>
      <sz val="12"/>
      <color rgb="FF0000FF"/>
      <name val="Times New Roman"/>
      <family val="1"/>
    </font>
    <font>
      <sz val="12"/>
      <color theme="1"/>
      <name val="Times New Roman"/>
      <family val="1"/>
    </font>
    <font>
      <sz val="10"/>
      <color theme="1"/>
      <name val="Times New Roman"/>
      <family val="1"/>
    </font>
    <font>
      <sz val="10"/>
      <color rgb="FFFF0000"/>
      <name val="Times New Roman"/>
      <family val="1"/>
    </font>
    <font>
      <b/>
      <sz val="12"/>
      <color theme="1"/>
      <name val="Times New Roman"/>
      <family val="1"/>
    </font>
    <font>
      <b/>
      <sz val="11"/>
      <color theme="1"/>
      <name val="Times New Roman"/>
      <family val="1"/>
    </font>
    <font>
      <sz val="11"/>
      <name val="Calibri"/>
      <family val="2"/>
      <scheme val="minor"/>
    </font>
    <font>
      <b/>
      <i/>
      <sz val="16"/>
      <name val="Times New Roman"/>
      <family val="1"/>
    </font>
  </fonts>
  <fills count="41">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FF"/>
        <bgColor rgb="FFFFFFFF"/>
      </patternFill>
    </fill>
    <fill>
      <patternFill patternType="solid">
        <fgColor rgb="FFFFFF00"/>
        <bgColor indexed="64"/>
      </patternFill>
    </fill>
    <fill>
      <patternFill patternType="solid">
        <fgColor theme="0"/>
        <bgColor rgb="FFFFFFFF"/>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B8CCE4"/>
        <bgColor rgb="FFB8CCE4"/>
      </patternFill>
    </fill>
  </fills>
  <borders count="28">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48">
    <xf numFmtId="0" fontId="0" fillId="0" borderId="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1" fillId="27" borderId="0" applyNumberFormat="0" applyBorder="0" applyAlignment="0" applyProtection="0"/>
    <xf numFmtId="0" fontId="22" fillId="28" borderId="16" applyNumberFormat="0" applyAlignment="0" applyProtection="0"/>
    <xf numFmtId="164" fontId="19" fillId="0" borderId="0" applyFont="0" applyFill="0" applyBorder="0" applyAlignment="0" applyProtection="0"/>
    <xf numFmtId="164" fontId="7" fillId="0" borderId="0" applyFont="0" applyFill="0" applyBorder="0" applyAlignment="0" applyProtection="0"/>
    <xf numFmtId="0" fontId="23" fillId="29" borderId="17" applyNumberFormat="0" applyAlignment="0" applyProtection="0"/>
    <xf numFmtId="0" fontId="24" fillId="0" borderId="0" applyNumberFormat="0" applyFill="0" applyBorder="0" applyAlignment="0" applyProtection="0"/>
    <xf numFmtId="0" fontId="25" fillId="30" borderId="0" applyNumberFormat="0" applyBorder="0" applyAlignment="0" applyProtection="0"/>
    <xf numFmtId="0" fontId="26" fillId="0" borderId="18" applyNumberFormat="0" applyFill="0" applyAlignment="0" applyProtection="0"/>
    <xf numFmtId="0" fontId="27" fillId="0" borderId="19" applyNumberFormat="0" applyFill="0" applyAlignment="0" applyProtection="0"/>
    <xf numFmtId="0" fontId="28" fillId="0" borderId="20" applyNumberFormat="0" applyFill="0" applyAlignment="0" applyProtection="0"/>
    <xf numFmtId="0" fontId="28" fillId="0" borderId="0" applyNumberFormat="0" applyFill="0" applyBorder="0" applyAlignment="0" applyProtection="0"/>
    <xf numFmtId="0" fontId="29" fillId="31" borderId="16" applyNumberFormat="0" applyAlignment="0" applyProtection="0"/>
    <xf numFmtId="0" fontId="30" fillId="0" borderId="21" applyNumberFormat="0" applyFill="0" applyAlignment="0" applyProtection="0"/>
    <xf numFmtId="0" fontId="31" fillId="32" borderId="0" applyNumberFormat="0" applyBorder="0" applyAlignment="0" applyProtection="0"/>
    <xf numFmtId="0" fontId="1" fillId="0" borderId="0"/>
    <xf numFmtId="0" fontId="32" fillId="0" borderId="0"/>
    <xf numFmtId="0" fontId="2" fillId="0" borderId="0"/>
    <xf numFmtId="0" fontId="19" fillId="33" borderId="22" applyNumberFormat="0" applyFont="0" applyAlignment="0" applyProtection="0"/>
    <xf numFmtId="0" fontId="33" fillId="28" borderId="23" applyNumberFormat="0" applyAlignment="0" applyProtection="0"/>
    <xf numFmtId="9" fontId="19" fillId="0" borderId="0" applyFont="0" applyFill="0" applyBorder="0" applyAlignment="0" applyProtection="0"/>
    <xf numFmtId="0" fontId="34" fillId="0" borderId="0" applyNumberFormat="0" applyFill="0" applyBorder="0" applyAlignment="0" applyProtection="0"/>
    <xf numFmtId="0" fontId="35" fillId="0" borderId="24" applyNumberFormat="0" applyFill="0" applyAlignment="0" applyProtection="0"/>
    <xf numFmtId="0" fontId="36" fillId="0" borderId="0" applyNumberFormat="0" applyFill="0" applyBorder="0" applyAlignment="0" applyProtection="0"/>
  </cellStyleXfs>
  <cellXfs count="505">
    <xf numFmtId="0" fontId="0" fillId="0" borderId="0" xfId="0"/>
    <xf numFmtId="0" fontId="37" fillId="0" borderId="1" xfId="0" applyFont="1" applyFill="1" applyBorder="1" applyAlignment="1">
      <alignment vertical="center"/>
    </xf>
    <xf numFmtId="0" fontId="38" fillId="0" borderId="0" xfId="0" applyFont="1" applyFill="1" applyBorder="1"/>
    <xf numFmtId="0" fontId="37" fillId="0" borderId="0" xfId="0" applyFont="1" applyFill="1" applyBorder="1" applyAlignment="1">
      <alignment vertical="center"/>
    </xf>
    <xf numFmtId="165" fontId="37" fillId="0" borderId="2" xfId="0" applyNumberFormat="1" applyFont="1" applyBorder="1" applyAlignment="1">
      <alignment horizontal="center" vertical="center" wrapText="1"/>
    </xf>
    <xf numFmtId="167" fontId="37" fillId="0" borderId="2" xfId="0" applyNumberFormat="1" applyFont="1" applyBorder="1" applyAlignment="1">
      <alignment horizontal="center" vertical="center" wrapText="1"/>
    </xf>
    <xf numFmtId="0" fontId="37" fillId="0" borderId="2" xfId="0" applyFont="1" applyBorder="1" applyAlignment="1">
      <alignment horizontal="center" vertical="center" wrapText="1"/>
    </xf>
    <xf numFmtId="49" fontId="39" fillId="0" borderId="2" xfId="0" applyNumberFormat="1" applyFont="1" applyBorder="1" applyAlignment="1">
      <alignment horizontal="center" vertical="center"/>
    </xf>
    <xf numFmtId="49" fontId="38" fillId="0" borderId="2" xfId="0" applyNumberFormat="1" applyFont="1" applyFill="1" applyBorder="1" applyAlignment="1">
      <alignment horizontal="center" vertical="center" wrapText="1"/>
    </xf>
    <xf numFmtId="0" fontId="40" fillId="0" borderId="2" xfId="0" quotePrefix="1" applyNumberFormat="1" applyFont="1" applyFill="1" applyBorder="1" applyAlignment="1">
      <alignment horizontal="center" vertical="center" wrapText="1"/>
    </xf>
    <xf numFmtId="164" fontId="38" fillId="0" borderId="2" xfId="0" applyNumberFormat="1" applyFont="1" applyFill="1" applyBorder="1" applyAlignment="1">
      <alignment horizontal="right" vertical="center" wrapText="1"/>
    </xf>
    <xf numFmtId="165" fontId="38" fillId="0" borderId="2" xfId="27" applyNumberFormat="1" applyFont="1" applyFill="1" applyBorder="1" applyAlignment="1">
      <alignment horizontal="right" vertical="center" wrapText="1"/>
    </xf>
    <xf numFmtId="9" fontId="38" fillId="0" borderId="2" xfId="0" applyNumberFormat="1" applyFont="1" applyFill="1" applyBorder="1" applyAlignment="1">
      <alignment horizontal="center" vertical="center" wrapText="1"/>
    </xf>
    <xf numFmtId="166" fontId="38" fillId="0" borderId="3" xfId="0" applyNumberFormat="1" applyFont="1" applyFill="1" applyBorder="1" applyAlignment="1">
      <alignment horizontal="center" vertical="center" wrapText="1"/>
    </xf>
    <xf numFmtId="0" fontId="38" fillId="0" borderId="0" xfId="0" applyFont="1" applyBorder="1" applyAlignment="1">
      <alignment horizontal="center"/>
    </xf>
    <xf numFmtId="49" fontId="37" fillId="0" borderId="2" xfId="0" applyNumberFormat="1" applyFont="1" applyBorder="1" applyAlignment="1">
      <alignment vertical="center"/>
    </xf>
    <xf numFmtId="0" fontId="37" fillId="0" borderId="4" xfId="0" applyFont="1" applyBorder="1" applyAlignment="1">
      <alignment horizontal="center" vertical="center"/>
    </xf>
    <xf numFmtId="49" fontId="37" fillId="0" borderId="4" xfId="0" applyNumberFormat="1" applyFont="1" applyFill="1" applyBorder="1" applyAlignment="1">
      <alignment horizontal="center" vertical="center" wrapText="1"/>
    </xf>
    <xf numFmtId="0" fontId="37" fillId="34" borderId="4" xfId="0" applyFont="1" applyFill="1" applyBorder="1" applyAlignment="1">
      <alignment horizontal="center" vertical="center"/>
    </xf>
    <xf numFmtId="49" fontId="37" fillId="34" borderId="4" xfId="0" applyNumberFormat="1" applyFont="1" applyFill="1" applyBorder="1" applyAlignment="1">
      <alignment horizontal="center" vertical="center" wrapText="1"/>
    </xf>
    <xf numFmtId="0" fontId="38" fillId="34" borderId="2" xfId="0" applyFont="1" applyFill="1" applyBorder="1" applyAlignment="1">
      <alignment vertical="center" wrapText="1"/>
    </xf>
    <xf numFmtId="0" fontId="40" fillId="34" borderId="2" xfId="0" applyFont="1" applyFill="1" applyBorder="1" applyAlignment="1">
      <alignment horizontal="center" vertical="center" wrapText="1"/>
    </xf>
    <xf numFmtId="0" fontId="38" fillId="34" borderId="2" xfId="0" applyFont="1" applyFill="1" applyBorder="1" applyAlignment="1">
      <alignment horizontal="center" vertical="center" wrapText="1"/>
    </xf>
    <xf numFmtId="164" fontId="38" fillId="34" borderId="2" xfId="28" applyFont="1" applyFill="1" applyBorder="1" applyAlignment="1">
      <alignment horizontal="right" vertical="center" wrapText="1"/>
    </xf>
    <xf numFmtId="0" fontId="38" fillId="34" borderId="0" xfId="0" applyFont="1" applyFill="1" applyBorder="1" applyAlignment="1">
      <alignment horizontal="center"/>
    </xf>
    <xf numFmtId="0" fontId="38" fillId="0" borderId="2" xfId="0" applyFont="1" applyFill="1" applyBorder="1" applyAlignment="1">
      <alignment vertical="center" wrapText="1"/>
    </xf>
    <xf numFmtId="0" fontId="40" fillId="0" borderId="2" xfId="0" applyFont="1" applyFill="1" applyBorder="1" applyAlignment="1">
      <alignment horizontal="center" vertical="center" wrapText="1"/>
    </xf>
    <xf numFmtId="0" fontId="38" fillId="0" borderId="2" xfId="0" applyFont="1" applyFill="1" applyBorder="1" applyAlignment="1">
      <alignment horizontal="center" vertical="center" wrapText="1"/>
    </xf>
    <xf numFmtId="2" fontId="38" fillId="0" borderId="2" xfId="28" applyNumberFormat="1" applyFont="1" applyFill="1" applyBorder="1" applyAlignment="1">
      <alignment horizontal="right" vertical="center" wrapText="1"/>
    </xf>
    <xf numFmtId="165" fontId="38" fillId="0" borderId="2" xfId="27" applyNumberFormat="1" applyFont="1" applyFill="1" applyBorder="1" applyAlignment="1">
      <alignment horizontal="right" vertical="center"/>
    </xf>
    <xf numFmtId="9" fontId="38" fillId="0" borderId="2" xfId="44" applyFont="1" applyFill="1" applyBorder="1" applyAlignment="1">
      <alignment horizontal="center" vertical="center"/>
    </xf>
    <xf numFmtId="168" fontId="38" fillId="2" borderId="3" xfId="0" applyNumberFormat="1" applyFont="1" applyFill="1" applyBorder="1" applyAlignment="1">
      <alignment horizontal="center" vertical="center" wrapText="1"/>
    </xf>
    <xf numFmtId="3" fontId="38" fillId="0" borderId="2" xfId="0" applyNumberFormat="1" applyFont="1" applyFill="1" applyBorder="1" applyAlignment="1">
      <alignment horizontal="right" vertical="center" wrapText="1"/>
    </xf>
    <xf numFmtId="164" fontId="38" fillId="0" borderId="2" xfId="28" applyNumberFormat="1" applyFont="1" applyFill="1" applyBorder="1" applyAlignment="1">
      <alignment horizontal="right" vertical="center" wrapText="1"/>
    </xf>
    <xf numFmtId="0" fontId="40" fillId="0" borderId="2" xfId="0" applyNumberFormat="1" applyFont="1" applyFill="1" applyBorder="1" applyAlignment="1">
      <alignment horizontal="center" vertical="center" wrapText="1"/>
    </xf>
    <xf numFmtId="164" fontId="38" fillId="0" borderId="2" xfId="28" applyFont="1" applyFill="1" applyBorder="1" applyAlignment="1">
      <alignment horizontal="right" vertical="center" wrapText="1"/>
    </xf>
    <xf numFmtId="3" fontId="41" fillId="0" borderId="2" xfId="0" applyNumberFormat="1" applyFont="1" applyBorder="1" applyAlignment="1">
      <alignment vertical="center"/>
    </xf>
    <xf numFmtId="9" fontId="38" fillId="0" borderId="2" xfId="44" applyNumberFormat="1" applyFont="1" applyFill="1" applyBorder="1" applyAlignment="1">
      <alignment horizontal="center" vertical="center"/>
    </xf>
    <xf numFmtId="9" fontId="8" fillId="2" borderId="2" xfId="0" applyNumberFormat="1" applyFont="1" applyFill="1" applyBorder="1" applyAlignment="1">
      <alignment horizontal="center" vertical="center" wrapText="1"/>
    </xf>
    <xf numFmtId="3" fontId="8" fillId="2" borderId="2" xfId="0" applyNumberFormat="1" applyFont="1" applyFill="1" applyBorder="1" applyAlignment="1">
      <alignment vertical="center" wrapText="1"/>
    </xf>
    <xf numFmtId="168" fontId="8" fillId="2" borderId="2" xfId="0" applyNumberFormat="1" applyFont="1" applyFill="1" applyBorder="1" applyAlignment="1">
      <alignment horizontal="center" vertical="center" wrapText="1"/>
    </xf>
    <xf numFmtId="4" fontId="38" fillId="0" borderId="2" xfId="28" applyNumberFormat="1" applyFont="1" applyFill="1" applyBorder="1" applyAlignment="1">
      <alignment horizontal="right" vertical="center" wrapText="1"/>
    </xf>
    <xf numFmtId="0" fontId="40" fillId="0" borderId="2" xfId="0" applyFont="1" applyBorder="1" applyAlignment="1">
      <alignment horizontal="center" vertical="center" wrapText="1"/>
    </xf>
    <xf numFmtId="9" fontId="38" fillId="34" borderId="2" xfId="44" applyFont="1" applyFill="1" applyBorder="1" applyAlignment="1">
      <alignment horizontal="center" vertical="center"/>
    </xf>
    <xf numFmtId="2" fontId="40" fillId="0" borderId="2" xfId="0" applyNumberFormat="1" applyFont="1" applyFill="1" applyBorder="1" applyAlignment="1">
      <alignment horizontal="center" vertical="center" wrapText="1"/>
    </xf>
    <xf numFmtId="9" fontId="8" fillId="0" borderId="25" xfId="40" applyNumberFormat="1" applyFont="1" applyBorder="1" applyAlignment="1">
      <alignment horizontal="center" vertical="center" wrapText="1"/>
    </xf>
    <xf numFmtId="165" fontId="38" fillId="0" borderId="2" xfId="27" applyNumberFormat="1" applyFont="1" applyBorder="1" applyAlignment="1">
      <alignment horizontal="right" vertical="center"/>
    </xf>
    <xf numFmtId="2" fontId="9" fillId="2" borderId="2" xfId="0" applyNumberFormat="1" applyFont="1" applyFill="1" applyBorder="1" applyAlignment="1">
      <alignment horizontal="center" vertical="center" wrapText="1"/>
    </xf>
    <xf numFmtId="1" fontId="38" fillId="0" borderId="2" xfId="28" applyNumberFormat="1" applyFont="1" applyFill="1" applyBorder="1" applyAlignment="1">
      <alignment horizontal="right" vertical="center" wrapText="1"/>
    </xf>
    <xf numFmtId="3" fontId="38" fillId="0" borderId="2" xfId="0" applyNumberFormat="1" applyFont="1" applyFill="1" applyBorder="1" applyAlignment="1">
      <alignment vertical="center" wrapText="1"/>
    </xf>
    <xf numFmtId="9" fontId="7" fillId="0" borderId="2" xfId="44" applyFont="1" applyFill="1" applyBorder="1" applyAlignment="1">
      <alignment horizontal="center" vertical="center"/>
    </xf>
    <xf numFmtId="166" fontId="8" fillId="2" borderId="2" xfId="44" applyNumberFormat="1" applyFont="1" applyFill="1" applyBorder="1" applyAlignment="1">
      <alignment horizontal="center" vertical="center" wrapText="1"/>
    </xf>
    <xf numFmtId="9" fontId="38" fillId="0" borderId="2" xfId="0" applyNumberFormat="1" applyFont="1" applyBorder="1" applyAlignment="1">
      <alignment horizontal="center" vertical="center" wrapText="1"/>
    </xf>
    <xf numFmtId="166" fontId="8" fillId="0" borderId="2" xfId="44" applyNumberFormat="1" applyFont="1" applyFill="1" applyBorder="1" applyAlignment="1">
      <alignment horizontal="center" vertical="center" wrapText="1"/>
    </xf>
    <xf numFmtId="165" fontId="38" fillId="0" borderId="2" xfId="28" applyNumberFormat="1" applyFont="1" applyFill="1" applyBorder="1" applyAlignment="1">
      <alignment horizontal="right" vertical="center" wrapText="1"/>
    </xf>
    <xf numFmtId="3" fontId="38" fillId="0" borderId="2" xfId="0" applyNumberFormat="1" applyFont="1" applyFill="1" applyBorder="1" applyAlignment="1">
      <alignment vertical="center"/>
    </xf>
    <xf numFmtId="9" fontId="38" fillId="2" borderId="2" xfId="0" applyNumberFormat="1" applyFont="1" applyFill="1" applyBorder="1" applyAlignment="1">
      <alignment horizontal="center" vertical="center" wrapText="1"/>
    </xf>
    <xf numFmtId="168" fontId="38" fillId="2" borderId="2" xfId="0" applyNumberFormat="1" applyFont="1" applyFill="1" applyBorder="1" applyAlignment="1">
      <alignment horizontal="center" vertical="center" wrapText="1"/>
    </xf>
    <xf numFmtId="2" fontId="40" fillId="0" borderId="6" xfId="0" applyNumberFormat="1" applyFont="1" applyFill="1" applyBorder="1" applyAlignment="1">
      <alignment horizontal="center" vertical="center" wrapText="1"/>
    </xf>
    <xf numFmtId="0" fontId="38" fillId="0" borderId="6" xfId="0" applyFont="1" applyFill="1" applyBorder="1" applyAlignment="1">
      <alignment horizontal="center" vertical="center"/>
    </xf>
    <xf numFmtId="9" fontId="38" fillId="0" borderId="6" xfId="0" applyNumberFormat="1" applyFont="1" applyBorder="1" applyAlignment="1">
      <alignment horizontal="center" vertical="center" wrapText="1"/>
    </xf>
    <xf numFmtId="166" fontId="38" fillId="35" borderId="7" xfId="0" applyNumberFormat="1" applyFont="1" applyFill="1" applyBorder="1" applyAlignment="1">
      <alignment horizontal="center" vertical="center" wrapText="1"/>
    </xf>
    <xf numFmtId="0" fontId="40" fillId="0" borderId="4" xfId="0" applyFont="1" applyBorder="1" applyAlignment="1">
      <alignment horizontal="center" vertical="center" wrapText="1"/>
    </xf>
    <xf numFmtId="0" fontId="38" fillId="35" borderId="2" xfId="0" applyFont="1" applyFill="1" applyBorder="1" applyAlignment="1">
      <alignment horizontal="center" vertical="center" wrapText="1"/>
    </xf>
    <xf numFmtId="166" fontId="38" fillId="0" borderId="2" xfId="28" applyNumberFormat="1" applyFont="1" applyFill="1" applyBorder="1" applyAlignment="1">
      <alignment horizontal="right" vertical="center" wrapText="1"/>
    </xf>
    <xf numFmtId="165" fontId="38" fillId="0" borderId="4" xfId="27" applyNumberFormat="1" applyFont="1" applyBorder="1" applyAlignment="1">
      <alignment horizontal="right" vertical="center"/>
    </xf>
    <xf numFmtId="9" fontId="38" fillId="2" borderId="4" xfId="0" applyNumberFormat="1" applyFont="1" applyFill="1" applyBorder="1" applyAlignment="1">
      <alignment horizontal="center" vertical="center" wrapText="1"/>
    </xf>
    <xf numFmtId="0" fontId="37" fillId="0" borderId="2" xfId="0" applyFont="1" applyBorder="1" applyAlignment="1">
      <alignment horizontal="center" vertical="center"/>
    </xf>
    <xf numFmtId="49" fontId="37" fillId="0" borderId="2" xfId="0" applyNumberFormat="1" applyFont="1" applyFill="1" applyBorder="1" applyAlignment="1">
      <alignment horizontal="center" vertical="center" wrapText="1"/>
    </xf>
    <xf numFmtId="0" fontId="37" fillId="0" borderId="2" xfId="0" applyFont="1" applyBorder="1" applyAlignment="1">
      <alignment horizontal="center"/>
    </xf>
    <xf numFmtId="49" fontId="38" fillId="34" borderId="2" xfId="0" applyNumberFormat="1" applyFont="1" applyFill="1" applyBorder="1" applyAlignment="1">
      <alignment horizontal="left" vertical="center" wrapText="1"/>
    </xf>
    <xf numFmtId="0" fontId="38" fillId="0" borderId="2" xfId="0" applyFont="1" applyFill="1" applyBorder="1" applyAlignment="1">
      <alignment horizontal="center" vertical="center"/>
    </xf>
    <xf numFmtId="2" fontId="38" fillId="0" borderId="2" xfId="0" applyNumberFormat="1" applyFont="1" applyFill="1" applyBorder="1" applyAlignment="1">
      <alignment horizontal="right" vertical="center"/>
    </xf>
    <xf numFmtId="3" fontId="41" fillId="0" borderId="0" xfId="0" applyNumberFormat="1" applyFont="1" applyAlignment="1">
      <alignment vertical="center"/>
    </xf>
    <xf numFmtId="0" fontId="38" fillId="0" borderId="2" xfId="0" applyFont="1" applyFill="1" applyBorder="1" applyAlignment="1">
      <alignment horizontal="right" vertical="center"/>
    </xf>
    <xf numFmtId="4" fontId="38" fillId="0" borderId="2" xfId="0" applyNumberFormat="1" applyFont="1" applyFill="1" applyBorder="1" applyAlignment="1">
      <alignment horizontal="right" vertical="center"/>
    </xf>
    <xf numFmtId="165" fontId="38" fillId="0" borderId="2" xfId="0" applyNumberFormat="1" applyFont="1" applyFill="1" applyBorder="1" applyAlignment="1">
      <alignment horizontal="right" vertical="center"/>
    </xf>
    <xf numFmtId="166" fontId="38" fillId="0" borderId="2" xfId="0" applyNumberFormat="1" applyFont="1" applyFill="1" applyBorder="1" applyAlignment="1">
      <alignment horizontal="right" vertical="center"/>
    </xf>
    <xf numFmtId="168" fontId="38" fillId="34" borderId="2" xfId="44" applyNumberFormat="1" applyFont="1" applyFill="1" applyBorder="1" applyAlignment="1">
      <alignment horizontal="center" vertical="center" wrapText="1"/>
    </xf>
    <xf numFmtId="168" fontId="38" fillId="34" borderId="3" xfId="44"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40" fillId="34" borderId="2" xfId="0" quotePrefix="1" applyNumberFormat="1" applyFont="1" applyFill="1" applyBorder="1" applyAlignment="1">
      <alignment horizontal="center" vertical="center" wrapText="1"/>
    </xf>
    <xf numFmtId="49" fontId="38" fillId="0" borderId="2"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49" fontId="38" fillId="0" borderId="4" xfId="0" applyNumberFormat="1" applyFont="1" applyFill="1" applyBorder="1" applyAlignment="1">
      <alignment horizontal="center" vertical="center" wrapText="1"/>
    </xf>
    <xf numFmtId="164" fontId="38" fillId="0" borderId="4" xfId="0" applyNumberFormat="1" applyFont="1" applyFill="1" applyBorder="1" applyAlignment="1">
      <alignment horizontal="right" vertical="center"/>
    </xf>
    <xf numFmtId="165" fontId="38" fillId="0" borderId="4" xfId="27" applyNumberFormat="1" applyFont="1" applyFill="1" applyBorder="1" applyAlignment="1">
      <alignment horizontal="right" vertical="center"/>
    </xf>
    <xf numFmtId="9" fontId="38" fillId="0" borderId="4" xfId="44" applyFont="1" applyFill="1" applyBorder="1" applyAlignment="1">
      <alignment horizontal="center" vertical="center"/>
    </xf>
    <xf numFmtId="168" fontId="38" fillId="2" borderId="1" xfId="0" applyNumberFormat="1" applyFont="1" applyFill="1" applyBorder="1" applyAlignment="1">
      <alignment horizontal="center" vertical="center" wrapText="1"/>
    </xf>
    <xf numFmtId="164" fontId="38" fillId="0" borderId="2" xfId="0" applyNumberFormat="1" applyFont="1" applyFill="1" applyBorder="1" applyAlignment="1">
      <alignment horizontal="right" vertical="center"/>
    </xf>
    <xf numFmtId="1" fontId="38" fillId="0" borderId="2" xfId="0" applyNumberFormat="1" applyFont="1" applyFill="1" applyBorder="1" applyAlignment="1">
      <alignment horizontal="right" vertical="center" wrapText="1"/>
    </xf>
    <xf numFmtId="2" fontId="38" fillId="35" borderId="2" xfId="0" applyNumberFormat="1" applyFont="1" applyFill="1" applyBorder="1" applyAlignment="1">
      <alignment horizontal="right" vertical="center" wrapText="1"/>
    </xf>
    <xf numFmtId="2" fontId="38" fillId="0" borderId="4" xfId="0" applyNumberFormat="1" applyFont="1" applyFill="1" applyBorder="1" applyAlignment="1">
      <alignment horizontal="right" vertical="center"/>
    </xf>
    <xf numFmtId="0" fontId="37" fillId="34" borderId="2" xfId="0" applyFont="1" applyFill="1" applyBorder="1" applyAlignment="1">
      <alignment horizontal="center"/>
    </xf>
    <xf numFmtId="49" fontId="38" fillId="34" borderId="2" xfId="0" applyNumberFormat="1" applyFont="1" applyFill="1" applyBorder="1" applyAlignment="1">
      <alignment horizontal="center" vertical="center" wrapText="1"/>
    </xf>
    <xf numFmtId="2" fontId="38" fillId="34" borderId="2" xfId="0" applyNumberFormat="1" applyFont="1" applyFill="1" applyBorder="1" applyAlignment="1">
      <alignment horizontal="right" vertical="center"/>
    </xf>
    <xf numFmtId="0" fontId="42"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1" fontId="38" fillId="0" borderId="2" xfId="0" applyNumberFormat="1" applyFont="1" applyFill="1" applyBorder="1" applyAlignment="1">
      <alignment horizontal="right" vertical="center"/>
    </xf>
    <xf numFmtId="164" fontId="38" fillId="34" borderId="2" xfId="0" applyNumberFormat="1" applyFont="1" applyFill="1" applyBorder="1" applyAlignment="1">
      <alignment horizontal="right" vertical="center"/>
    </xf>
    <xf numFmtId="165" fontId="38" fillId="34" borderId="2" xfId="27" applyNumberFormat="1" applyFont="1" applyFill="1" applyBorder="1" applyAlignment="1">
      <alignment horizontal="right" vertical="center"/>
    </xf>
    <xf numFmtId="9" fontId="38" fillId="34" borderId="2" xfId="44" applyNumberFormat="1" applyFont="1" applyFill="1" applyBorder="1" applyAlignment="1">
      <alignment horizontal="center" vertical="center"/>
    </xf>
    <xf numFmtId="168" fontId="38" fillId="34" borderId="3" xfId="0" applyNumberFormat="1" applyFont="1" applyFill="1" applyBorder="1" applyAlignment="1">
      <alignment horizontal="center" vertical="center" wrapText="1"/>
    </xf>
    <xf numFmtId="3" fontId="38" fillId="0" borderId="2" xfId="0" applyNumberFormat="1" applyFont="1" applyFill="1" applyBorder="1" applyAlignment="1">
      <alignment horizontal="right" vertical="center"/>
    </xf>
    <xf numFmtId="0" fontId="37" fillId="0" borderId="6" xfId="0" applyFont="1" applyBorder="1" applyAlignment="1">
      <alignment horizontal="center"/>
    </xf>
    <xf numFmtId="49" fontId="38" fillId="0" borderId="6" xfId="0" applyNumberFormat="1" applyFont="1" applyFill="1" applyBorder="1" applyAlignment="1">
      <alignment horizontal="center" vertical="center" wrapText="1"/>
    </xf>
    <xf numFmtId="49" fontId="38" fillId="0" borderId="8" xfId="0" applyNumberFormat="1" applyFont="1" applyFill="1" applyBorder="1" applyAlignment="1">
      <alignment horizontal="left" vertical="center" wrapText="1"/>
    </xf>
    <xf numFmtId="0" fontId="37" fillId="0" borderId="4" xfId="0" applyFont="1" applyBorder="1" applyAlignment="1">
      <alignment horizontal="center"/>
    </xf>
    <xf numFmtId="0" fontId="37" fillId="34" borderId="2" xfId="0" applyFont="1" applyFill="1" applyBorder="1" applyAlignment="1">
      <alignment horizontal="center" vertical="center"/>
    </xf>
    <xf numFmtId="49" fontId="37" fillId="34" borderId="2" xfId="0" applyNumberFormat="1" applyFont="1" applyFill="1" applyBorder="1" applyAlignment="1">
      <alignment horizontal="center" vertical="center" wrapText="1"/>
    </xf>
    <xf numFmtId="0" fontId="37" fillId="0" borderId="8" xfId="0" applyFont="1" applyBorder="1" applyAlignment="1">
      <alignment horizontal="center" vertical="center"/>
    </xf>
    <xf numFmtId="49" fontId="37" fillId="0" borderId="8" xfId="0" applyNumberFormat="1" applyFont="1" applyFill="1" applyBorder="1" applyAlignment="1">
      <alignment horizontal="center" vertical="center" wrapText="1"/>
    </xf>
    <xf numFmtId="165" fontId="38" fillId="35" borderId="2" xfId="27" applyNumberFormat="1" applyFont="1" applyFill="1" applyBorder="1" applyAlignment="1">
      <alignment horizontal="right" vertical="center" wrapText="1"/>
    </xf>
    <xf numFmtId="49" fontId="38" fillId="0" borderId="6" xfId="0" applyNumberFormat="1" applyFont="1" applyFill="1" applyBorder="1" applyAlignment="1">
      <alignment horizontal="left" vertical="center" wrapText="1"/>
    </xf>
    <xf numFmtId="1" fontId="38" fillId="0" borderId="6" xfId="0" applyNumberFormat="1" applyFont="1" applyFill="1" applyBorder="1" applyAlignment="1">
      <alignment horizontal="right" vertical="center" wrapText="1"/>
    </xf>
    <xf numFmtId="165" fontId="38" fillId="0" borderId="6" xfId="27" applyNumberFormat="1" applyFont="1" applyFill="1" applyBorder="1" applyAlignment="1">
      <alignment horizontal="right" vertical="center" wrapText="1"/>
    </xf>
    <xf numFmtId="1" fontId="38" fillId="0" borderId="6" xfId="0" applyNumberFormat="1" applyFont="1" applyFill="1" applyBorder="1" applyAlignment="1">
      <alignment horizontal="right" vertical="center"/>
    </xf>
    <xf numFmtId="0" fontId="37" fillId="0" borderId="8" xfId="0" applyFont="1" applyBorder="1" applyAlignment="1">
      <alignment horizontal="center"/>
    </xf>
    <xf numFmtId="49" fontId="38" fillId="0" borderId="8" xfId="0" applyNumberFormat="1" applyFont="1" applyFill="1" applyBorder="1" applyAlignment="1">
      <alignment horizontal="center" vertical="center" wrapText="1"/>
    </xf>
    <xf numFmtId="0" fontId="40" fillId="2" borderId="2" xfId="0" applyFont="1" applyFill="1" applyBorder="1" applyAlignment="1">
      <alignment horizontal="center" vertical="center" wrapText="1"/>
    </xf>
    <xf numFmtId="3" fontId="38" fillId="0" borderId="2" xfId="0" applyNumberFormat="1" applyFont="1" applyBorder="1" applyAlignment="1">
      <alignment horizontal="right" vertical="center"/>
    </xf>
    <xf numFmtId="49" fontId="38" fillId="0" borderId="7"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2" fontId="38" fillId="0" borderId="6" xfId="0" applyNumberFormat="1" applyFont="1" applyFill="1" applyBorder="1" applyAlignment="1">
      <alignment horizontal="right" vertical="center"/>
    </xf>
    <xf numFmtId="168" fontId="38" fillId="0" borderId="3" xfId="0" applyNumberFormat="1" applyFont="1" applyFill="1" applyBorder="1" applyAlignment="1">
      <alignment horizontal="center" vertical="center" wrapText="1"/>
    </xf>
    <xf numFmtId="166" fontId="38" fillId="35" borderId="3" xfId="0" applyNumberFormat="1" applyFont="1" applyFill="1" applyBorder="1" applyAlignment="1">
      <alignment horizontal="center" vertical="center" wrapText="1"/>
    </xf>
    <xf numFmtId="0" fontId="38" fillId="35" borderId="6" xfId="0" applyFont="1" applyFill="1" applyBorder="1" applyAlignment="1">
      <alignment horizontal="center" vertical="center" wrapText="1"/>
    </xf>
    <xf numFmtId="166" fontId="38" fillId="0" borderId="6" xfId="0" applyNumberFormat="1" applyFont="1" applyFill="1" applyBorder="1" applyAlignment="1">
      <alignment horizontal="right" vertical="center"/>
    </xf>
    <xf numFmtId="0" fontId="8" fillId="0" borderId="2" xfId="0" applyFont="1" applyFill="1" applyBorder="1" applyAlignment="1">
      <alignment vertical="center" wrapText="1"/>
    </xf>
    <xf numFmtId="164" fontId="8" fillId="0" borderId="2" xfId="28" applyNumberFormat="1" applyFont="1" applyFill="1" applyBorder="1" applyAlignment="1">
      <alignment horizontal="right" vertical="center" wrapText="1"/>
    </xf>
    <xf numFmtId="3" fontId="8" fillId="0" borderId="2" xfId="0" applyNumberFormat="1" applyFont="1" applyFill="1" applyBorder="1" applyAlignment="1">
      <alignment horizontal="right" vertical="center" wrapText="1"/>
    </xf>
    <xf numFmtId="168" fontId="8" fillId="0" borderId="3" xfId="0" applyNumberFormat="1" applyFont="1" applyFill="1" applyBorder="1" applyAlignment="1">
      <alignment horizontal="center" vertical="center" wrapText="1"/>
    </xf>
    <xf numFmtId="2" fontId="8" fillId="0" borderId="2" xfId="28" applyNumberFormat="1" applyFont="1" applyFill="1" applyBorder="1" applyAlignment="1">
      <alignment horizontal="right" vertical="center" wrapText="1"/>
    </xf>
    <xf numFmtId="4" fontId="8" fillId="0" borderId="2" xfId="28" applyNumberFormat="1" applyFont="1" applyFill="1" applyBorder="1" applyAlignment="1">
      <alignment horizontal="right" vertical="center" wrapText="1"/>
    </xf>
    <xf numFmtId="0" fontId="38" fillId="0" borderId="4" xfId="0" applyFont="1" applyFill="1" applyBorder="1" applyAlignment="1">
      <alignment vertical="center" wrapText="1"/>
    </xf>
    <xf numFmtId="2" fontId="8" fillId="35" borderId="4" xfId="0" applyNumberFormat="1" applyFont="1" applyFill="1" applyBorder="1" applyAlignment="1">
      <alignment horizontal="right" vertical="center" wrapText="1"/>
    </xf>
    <xf numFmtId="2" fontId="8" fillId="35" borderId="2" xfId="0" applyNumberFormat="1" applyFont="1" applyFill="1" applyBorder="1" applyAlignment="1">
      <alignment horizontal="right" vertical="center" wrapText="1"/>
    </xf>
    <xf numFmtId="0" fontId="38" fillId="36" borderId="0" xfId="0" applyFont="1" applyFill="1" applyBorder="1" applyAlignment="1">
      <alignment horizontal="center"/>
    </xf>
    <xf numFmtId="166" fontId="8" fillId="35" borderId="2" xfId="0" applyNumberFormat="1" applyFont="1" applyFill="1" applyBorder="1" applyAlignment="1">
      <alignment horizontal="right" vertical="center" wrapText="1"/>
    </xf>
    <xf numFmtId="165" fontId="38" fillId="34" borderId="2" xfId="27" applyNumberFormat="1" applyFont="1" applyFill="1" applyBorder="1" applyAlignment="1">
      <alignment horizontal="right" vertical="center" wrapText="1"/>
    </xf>
    <xf numFmtId="0" fontId="9" fillId="0" borderId="2" xfId="0" applyFont="1" applyFill="1" applyBorder="1" applyAlignment="1">
      <alignment horizontal="center" vertical="center" wrapText="1"/>
    </xf>
    <xf numFmtId="0" fontId="38" fillId="0" borderId="4" xfId="0" applyFont="1" applyFill="1" applyBorder="1" applyAlignment="1">
      <alignment horizontal="center" vertical="center" wrapText="1"/>
    </xf>
    <xf numFmtId="166" fontId="38" fillId="35" borderId="25" xfId="0" applyNumberFormat="1" applyFont="1" applyFill="1" applyBorder="1" applyAlignment="1">
      <alignment horizontal="right" vertical="center" wrapText="1"/>
    </xf>
    <xf numFmtId="49" fontId="8" fillId="0" borderId="2" xfId="0" applyNumberFormat="1" applyFont="1" applyFill="1" applyBorder="1" applyAlignment="1">
      <alignment horizontal="left" vertical="center" wrapText="1"/>
    </xf>
    <xf numFmtId="0" fontId="42" fillId="34" borderId="2" xfId="0" applyFont="1" applyFill="1" applyBorder="1" applyAlignment="1">
      <alignment horizontal="center" vertical="center" wrapText="1"/>
    </xf>
    <xf numFmtId="3" fontId="38" fillId="0" borderId="4" xfId="0" applyNumberFormat="1" applyFont="1" applyFill="1" applyBorder="1" applyAlignment="1">
      <alignment vertical="center"/>
    </xf>
    <xf numFmtId="168" fontId="38" fillId="2" borderId="4" xfId="0" applyNumberFormat="1" applyFont="1" applyFill="1" applyBorder="1" applyAlignment="1">
      <alignment horizontal="center" vertical="center" wrapText="1"/>
    </xf>
    <xf numFmtId="1" fontId="38" fillId="0" borderId="8" xfId="0" applyNumberFormat="1" applyFont="1" applyFill="1" applyBorder="1" applyAlignment="1">
      <alignment horizontal="right" vertical="center" wrapText="1"/>
    </xf>
    <xf numFmtId="3" fontId="38" fillId="35" borderId="2" xfId="0" applyNumberFormat="1" applyFont="1" applyFill="1" applyBorder="1" applyAlignment="1">
      <alignment horizontal="right" vertical="center" wrapText="1"/>
    </xf>
    <xf numFmtId="0" fontId="37" fillId="34" borderId="8" xfId="0" applyFont="1" applyFill="1" applyBorder="1" applyAlignment="1">
      <alignment horizontal="center" vertical="center"/>
    </xf>
    <xf numFmtId="49" fontId="37" fillId="34" borderId="8" xfId="0" applyNumberFormat="1" applyFont="1" applyFill="1" applyBorder="1" applyAlignment="1">
      <alignment horizontal="center" vertical="center" wrapText="1"/>
    </xf>
    <xf numFmtId="168" fontId="38" fillId="34" borderId="3" xfId="44" applyNumberFormat="1" applyFont="1" applyFill="1" applyBorder="1" applyAlignment="1">
      <alignment vertical="center" wrapText="1"/>
    </xf>
    <xf numFmtId="2" fontId="38" fillId="0" borderId="8" xfId="0" applyNumberFormat="1" applyFont="1" applyFill="1" applyBorder="1" applyAlignment="1">
      <alignment horizontal="right" vertical="center" wrapText="1"/>
    </xf>
    <xf numFmtId="0" fontId="37" fillId="34" borderId="8" xfId="0" applyFont="1" applyFill="1" applyBorder="1" applyAlignment="1">
      <alignment horizontal="center"/>
    </xf>
    <xf numFmtId="49" fontId="38" fillId="34" borderId="8" xfId="0" applyNumberFormat="1" applyFont="1" applyFill="1" applyBorder="1" applyAlignment="1">
      <alignment horizontal="center" vertical="center" wrapText="1"/>
    </xf>
    <xf numFmtId="49" fontId="38" fillId="34" borderId="8" xfId="0" applyNumberFormat="1" applyFont="1" applyFill="1" applyBorder="1" applyAlignment="1">
      <alignment horizontal="left" vertical="center" wrapText="1"/>
    </xf>
    <xf numFmtId="2" fontId="38" fillId="34" borderId="8" xfId="0" applyNumberFormat="1" applyFont="1" applyFill="1" applyBorder="1" applyAlignment="1">
      <alignment horizontal="right" vertical="center" wrapText="1"/>
    </xf>
    <xf numFmtId="0" fontId="38" fillId="35" borderId="2" xfId="0" applyFont="1" applyFill="1" applyBorder="1" applyAlignment="1">
      <alignment horizontal="right" vertical="center" wrapText="1"/>
    </xf>
    <xf numFmtId="0" fontId="43" fillId="0" borderId="0" xfId="0" applyFont="1" applyBorder="1" applyAlignment="1">
      <alignment horizontal="center"/>
    </xf>
    <xf numFmtId="168" fontId="8" fillId="2" borderId="2" xfId="44" applyNumberFormat="1" applyFont="1" applyFill="1" applyBorder="1" applyAlignment="1">
      <alignment horizontal="center" vertical="center" wrapText="1"/>
    </xf>
    <xf numFmtId="49" fontId="38" fillId="36" borderId="2" xfId="0" applyNumberFormat="1" applyFont="1" applyFill="1" applyBorder="1" applyAlignment="1">
      <alignment horizontal="left" vertical="center" wrapText="1"/>
    </xf>
    <xf numFmtId="49" fontId="43" fillId="34" borderId="2" xfId="0" applyNumberFormat="1" applyFont="1" applyFill="1" applyBorder="1" applyAlignment="1">
      <alignment horizontal="left" vertical="center" wrapText="1"/>
    </xf>
    <xf numFmtId="0" fontId="43" fillId="34" borderId="2" xfId="0" applyFont="1" applyFill="1" applyBorder="1" applyAlignment="1">
      <alignment horizontal="center" vertical="center" wrapText="1"/>
    </xf>
    <xf numFmtId="165" fontId="43" fillId="34" borderId="2" xfId="27" applyNumberFormat="1" applyFont="1" applyFill="1" applyBorder="1" applyAlignment="1">
      <alignment horizontal="right" vertical="center"/>
    </xf>
    <xf numFmtId="168" fontId="43" fillId="34" borderId="3" xfId="0" applyNumberFormat="1" applyFont="1" applyFill="1" applyBorder="1" applyAlignment="1">
      <alignment horizontal="center" vertical="center" wrapText="1"/>
    </xf>
    <xf numFmtId="0" fontId="38" fillId="34" borderId="2" xfId="0" applyFont="1" applyFill="1" applyBorder="1" applyAlignment="1">
      <alignment horizontal="center" vertical="center"/>
    </xf>
    <xf numFmtId="166" fontId="38" fillId="0" borderId="3" xfId="0" applyNumberFormat="1" applyFont="1" applyFill="1" applyBorder="1" applyAlignment="1">
      <alignment vertical="center" wrapText="1"/>
    </xf>
    <xf numFmtId="49" fontId="38" fillId="34" borderId="4" xfId="0" applyNumberFormat="1" applyFont="1" applyFill="1" applyBorder="1" applyAlignment="1">
      <alignment horizontal="left" vertical="center" wrapText="1"/>
    </xf>
    <xf numFmtId="0" fontId="38" fillId="0" borderId="4" xfId="0" applyFont="1" applyFill="1" applyBorder="1" applyAlignment="1">
      <alignment horizontal="center" vertical="center"/>
    </xf>
    <xf numFmtId="0" fontId="0" fillId="34" borderId="0" xfId="0" applyFill="1"/>
    <xf numFmtId="164" fontId="37" fillId="0" borderId="2" xfId="0" applyNumberFormat="1" applyFont="1" applyBorder="1" applyAlignment="1">
      <alignment horizontal="center" vertical="center" wrapText="1"/>
    </xf>
    <xf numFmtId="3" fontId="41" fillId="0" borderId="0" xfId="0" applyNumberFormat="1" applyFont="1" applyAlignment="1">
      <alignment horizontal="right" vertical="center"/>
    </xf>
    <xf numFmtId="0" fontId="0" fillId="0" borderId="0" xfId="0" applyAlignment="1">
      <alignment horizontal="right"/>
    </xf>
    <xf numFmtId="3" fontId="8" fillId="2" borderId="2" xfId="0" applyNumberFormat="1" applyFont="1" applyFill="1" applyBorder="1" applyAlignment="1">
      <alignment horizontal="right" vertical="center" wrapText="1"/>
    </xf>
    <xf numFmtId="0" fontId="8" fillId="2" borderId="2" xfId="0" applyFont="1" applyFill="1" applyBorder="1" applyAlignment="1">
      <alignment horizontal="center" vertical="center" wrapText="1"/>
    </xf>
    <xf numFmtId="3" fontId="8" fillId="0" borderId="0" xfId="0" applyNumberFormat="1" applyFont="1" applyAlignment="1">
      <alignment horizontal="right" vertical="center"/>
    </xf>
    <xf numFmtId="0" fontId="40" fillId="0" borderId="8" xfId="0" applyFont="1" applyBorder="1" applyAlignment="1">
      <alignment horizontal="center" vertical="center" wrapText="1"/>
    </xf>
    <xf numFmtId="165" fontId="38" fillId="0" borderId="6" xfId="27" applyNumberFormat="1" applyFont="1" applyBorder="1" applyAlignment="1">
      <alignment horizontal="right" vertical="center"/>
    </xf>
    <xf numFmtId="9" fontId="38" fillId="2" borderId="8" xfId="0" applyNumberFormat="1" applyFont="1" applyFill="1" applyBorder="1" applyAlignment="1">
      <alignment horizontal="center" vertical="center" wrapText="1"/>
    </xf>
    <xf numFmtId="168" fontId="38" fillId="2" borderId="7" xfId="0" applyNumberFormat="1" applyFont="1" applyFill="1" applyBorder="1" applyAlignment="1">
      <alignment horizontal="center" vertical="center" wrapText="1"/>
    </xf>
    <xf numFmtId="3" fontId="8" fillId="0" borderId="2" xfId="0" applyNumberFormat="1" applyFont="1" applyBorder="1" applyAlignment="1">
      <alignment horizontal="right" vertical="center"/>
    </xf>
    <xf numFmtId="2" fontId="43" fillId="34" borderId="2" xfId="0" applyNumberFormat="1" applyFont="1" applyFill="1" applyBorder="1" applyAlignment="1">
      <alignment horizontal="right" vertical="center"/>
    </xf>
    <xf numFmtId="0" fontId="8" fillId="0" borderId="2" xfId="0" applyFont="1" applyFill="1" applyBorder="1" applyAlignment="1">
      <alignment horizontal="center" vertical="center" wrapText="1"/>
    </xf>
    <xf numFmtId="49" fontId="38" fillId="34" borderId="4" xfId="0" applyNumberFormat="1" applyFont="1" applyFill="1" applyBorder="1" applyAlignment="1">
      <alignment horizontal="center" vertical="center" wrapText="1"/>
    </xf>
    <xf numFmtId="0" fontId="8" fillId="34" borderId="2" xfId="0" applyFont="1" applyFill="1" applyBorder="1" applyAlignment="1">
      <alignment vertical="center" wrapText="1"/>
    </xf>
    <xf numFmtId="2" fontId="40" fillId="34" borderId="2" xfId="0" applyNumberFormat="1" applyFont="1" applyFill="1" applyBorder="1" applyAlignment="1">
      <alignment horizontal="center" vertical="center" wrapText="1"/>
    </xf>
    <xf numFmtId="0" fontId="8" fillId="37" borderId="2" xfId="0" applyFont="1" applyFill="1" applyBorder="1" applyAlignment="1">
      <alignment horizontal="right" vertical="center" wrapText="1"/>
    </xf>
    <xf numFmtId="4" fontId="38" fillId="34" borderId="2" xfId="28" applyNumberFormat="1" applyFont="1" applyFill="1" applyBorder="1" applyAlignment="1">
      <alignment horizontal="right" vertical="center" wrapText="1"/>
    </xf>
    <xf numFmtId="164" fontId="0" fillId="0" borderId="0" xfId="0" applyNumberFormat="1"/>
    <xf numFmtId="2" fontId="13" fillId="2" borderId="2" xfId="0" applyNumberFormat="1" applyFont="1" applyFill="1" applyBorder="1" applyAlignment="1">
      <alignment horizontal="center" vertical="center" wrapText="1"/>
    </xf>
    <xf numFmtId="1" fontId="8" fillId="0" borderId="2" xfId="28" applyNumberFormat="1" applyFont="1" applyFill="1" applyBorder="1" applyAlignment="1">
      <alignment horizontal="right" vertical="center" wrapText="1"/>
    </xf>
    <xf numFmtId="0" fontId="40" fillId="0" borderId="0" xfId="0" applyFont="1" applyAlignment="1">
      <alignment vertical="top" wrapText="1"/>
    </xf>
    <xf numFmtId="0" fontId="16" fillId="2" borderId="2" xfId="0" applyFont="1" applyFill="1" applyBorder="1" applyAlignment="1">
      <alignment horizontal="center" vertical="center" wrapText="1"/>
    </xf>
    <xf numFmtId="0" fontId="16" fillId="2" borderId="2" xfId="0" applyFont="1" applyFill="1" applyBorder="1" applyAlignment="1">
      <alignment horizontal="center" wrapText="1"/>
    </xf>
    <xf numFmtId="0" fontId="38" fillId="0" borderId="2" xfId="0" applyFont="1" applyBorder="1" applyAlignment="1">
      <alignment horizontal="center" wrapText="1"/>
    </xf>
    <xf numFmtId="170" fontId="38" fillId="0" borderId="2" xfId="0" applyNumberFormat="1" applyFont="1" applyFill="1" applyBorder="1" applyAlignment="1">
      <alignment horizontal="right" vertical="center"/>
    </xf>
    <xf numFmtId="169" fontId="38" fillId="0" borderId="2" xfId="0" applyNumberFormat="1" applyFont="1" applyFill="1" applyBorder="1" applyAlignment="1">
      <alignment horizontal="right" vertical="center"/>
    </xf>
    <xf numFmtId="0" fontId="7" fillId="2" borderId="2" xfId="0" applyFont="1" applyFill="1" applyBorder="1" applyAlignment="1">
      <alignment horizontal="center" vertical="center" wrapText="1"/>
    </xf>
    <xf numFmtId="3" fontId="38" fillId="0" borderId="0" xfId="0" applyNumberFormat="1" applyFont="1" applyAlignment="1">
      <alignment vertical="center"/>
    </xf>
    <xf numFmtId="169" fontId="38" fillId="34" borderId="2" xfId="0" applyNumberFormat="1" applyFont="1" applyFill="1" applyBorder="1" applyAlignment="1">
      <alignment horizontal="right" vertical="center"/>
    </xf>
    <xf numFmtId="166" fontId="37" fillId="0" borderId="2" xfId="0" applyNumberFormat="1" applyFont="1" applyBorder="1" applyAlignment="1">
      <alignment horizontal="center" vertical="center" wrapText="1"/>
    </xf>
    <xf numFmtId="166" fontId="38" fillId="2" borderId="3" xfId="0" applyNumberFormat="1" applyFont="1" applyFill="1" applyBorder="1" applyAlignment="1">
      <alignment horizontal="center" vertical="center" wrapText="1"/>
    </xf>
    <xf numFmtId="166" fontId="0" fillId="0" borderId="0" xfId="0" applyNumberFormat="1"/>
    <xf numFmtId="164" fontId="38" fillId="34" borderId="2" xfId="28" applyNumberFormat="1" applyFont="1" applyFill="1" applyBorder="1" applyAlignment="1">
      <alignment horizontal="right" vertical="center" wrapText="1"/>
    </xf>
    <xf numFmtId="164" fontId="38" fillId="0" borderId="4" xfId="28" applyNumberFormat="1" applyFont="1" applyFill="1" applyBorder="1" applyAlignment="1">
      <alignment horizontal="right" vertical="center" wrapText="1"/>
    </xf>
    <xf numFmtId="164" fontId="38" fillId="35" borderId="2" xfId="0" applyNumberFormat="1" applyFont="1" applyFill="1" applyBorder="1" applyAlignment="1">
      <alignment horizontal="right" vertical="center" wrapText="1"/>
    </xf>
    <xf numFmtId="164" fontId="38" fillId="35" borderId="4" xfId="0" applyNumberFormat="1" applyFont="1" applyFill="1" applyBorder="1" applyAlignment="1">
      <alignment horizontal="right" vertical="center" wrapText="1"/>
    </xf>
    <xf numFmtId="164" fontId="38" fillId="0" borderId="4" xfId="0" applyNumberFormat="1" applyFont="1" applyFill="1" applyBorder="1" applyAlignment="1">
      <alignment horizontal="right" vertical="center" wrapText="1"/>
    </xf>
    <xf numFmtId="164" fontId="38" fillId="2" borderId="2" xfId="27" applyNumberFormat="1" applyFont="1" applyFill="1" applyBorder="1" applyAlignment="1">
      <alignment horizontal="right" vertical="center" wrapText="1"/>
    </xf>
    <xf numFmtId="164" fontId="38" fillId="0" borderId="6" xfId="0" applyNumberFormat="1" applyFont="1" applyFill="1" applyBorder="1" applyAlignment="1">
      <alignment horizontal="right" vertical="center" wrapText="1"/>
    </xf>
    <xf numFmtId="164" fontId="8" fillId="35" borderId="4" xfId="0" applyNumberFormat="1" applyFont="1" applyFill="1" applyBorder="1" applyAlignment="1">
      <alignment horizontal="right" vertical="center" wrapText="1"/>
    </xf>
    <xf numFmtId="0" fontId="37" fillId="0" borderId="4" xfId="0" applyFont="1" applyBorder="1" applyAlignment="1">
      <alignment horizontal="center" vertical="center"/>
    </xf>
    <xf numFmtId="0" fontId="38" fillId="0" borderId="2" xfId="0" applyFont="1" applyBorder="1" applyAlignment="1">
      <alignment horizontal="center" vertical="center" wrapText="1"/>
    </xf>
    <xf numFmtId="1" fontId="37" fillId="0" borderId="2" xfId="0" applyNumberFormat="1" applyFont="1" applyBorder="1" applyAlignment="1">
      <alignment horizontal="center" vertical="center" wrapText="1"/>
    </xf>
    <xf numFmtId="1" fontId="8" fillId="35" borderId="2" xfId="0" applyNumberFormat="1" applyFont="1" applyFill="1" applyBorder="1" applyAlignment="1">
      <alignment horizontal="right" vertical="center" wrapText="1"/>
    </xf>
    <xf numFmtId="1" fontId="0" fillId="0" borderId="0" xfId="0" applyNumberFormat="1"/>
    <xf numFmtId="0" fontId="43" fillId="36" borderId="0" xfId="0" applyFont="1" applyFill="1" applyBorder="1" applyAlignment="1">
      <alignment horizontal="center" vertical="center"/>
    </xf>
    <xf numFmtId="0" fontId="43" fillId="36" borderId="0" xfId="0" applyFont="1" applyFill="1" applyBorder="1" applyAlignment="1">
      <alignment horizontal="left" vertical="center"/>
    </xf>
    <xf numFmtId="0" fontId="43" fillId="34" borderId="0" xfId="0" applyFont="1" applyFill="1" applyBorder="1" applyAlignment="1">
      <alignment horizontal="left" vertical="center"/>
    </xf>
    <xf numFmtId="165" fontId="37" fillId="0" borderId="3" xfId="0" applyNumberFormat="1" applyFont="1" applyBorder="1" applyAlignment="1">
      <alignment horizontal="center" vertical="center" wrapText="1"/>
    </xf>
    <xf numFmtId="49" fontId="38" fillId="0" borderId="3" xfId="0" applyNumberFormat="1" applyFont="1" applyFill="1" applyBorder="1" applyAlignment="1">
      <alignment horizontal="center" vertical="center" wrapText="1"/>
    </xf>
    <xf numFmtId="3" fontId="5" fillId="34" borderId="3" xfId="0" applyNumberFormat="1" applyFont="1" applyFill="1" applyBorder="1" applyAlignment="1">
      <alignment vertical="center" wrapText="1"/>
    </xf>
    <xf numFmtId="3" fontId="38" fillId="34" borderId="3" xfId="0" applyNumberFormat="1" applyFont="1" applyFill="1" applyBorder="1" applyAlignment="1">
      <alignment horizontal="right" vertical="center" wrapText="1"/>
    </xf>
    <xf numFmtId="3" fontId="38" fillId="0" borderId="3" xfId="0" applyNumberFormat="1" applyFont="1" applyFill="1" applyBorder="1" applyAlignment="1">
      <alignment horizontal="right" vertical="center" wrapText="1"/>
    </xf>
    <xf numFmtId="3" fontId="8" fillId="2" borderId="3" xfId="0" applyNumberFormat="1" applyFont="1" applyFill="1" applyBorder="1" applyAlignment="1">
      <alignment vertical="center" wrapText="1"/>
    </xf>
    <xf numFmtId="3" fontId="38" fillId="2" borderId="3" xfId="0" applyNumberFormat="1" applyFont="1" applyFill="1" applyBorder="1" applyAlignment="1">
      <alignment horizontal="right" vertical="center" wrapText="1"/>
    </xf>
    <xf numFmtId="3" fontId="38" fillId="2" borderId="3" xfId="0" applyNumberFormat="1" applyFont="1" applyFill="1" applyBorder="1" applyAlignment="1">
      <alignment vertical="center" wrapText="1"/>
    </xf>
    <xf numFmtId="49" fontId="38" fillId="0" borderId="3" xfId="0" applyNumberFormat="1" applyFont="1" applyFill="1" applyBorder="1" applyAlignment="1">
      <alignment horizontal="right" vertical="center" wrapText="1"/>
    </xf>
    <xf numFmtId="3" fontId="5" fillId="34" borderId="7" xfId="0" applyNumberFormat="1" applyFont="1" applyFill="1" applyBorder="1" applyAlignment="1">
      <alignment vertical="center" wrapText="1"/>
    </xf>
    <xf numFmtId="3" fontId="8" fillId="0" borderId="3" xfId="0" applyNumberFormat="1" applyFont="1" applyFill="1" applyBorder="1" applyAlignment="1">
      <alignment horizontal="right" vertical="center" wrapText="1"/>
    </xf>
    <xf numFmtId="3" fontId="43" fillId="0" borderId="3" xfId="0" applyNumberFormat="1" applyFont="1" applyFill="1" applyBorder="1" applyAlignment="1">
      <alignment horizontal="right" vertical="center" wrapText="1"/>
    </xf>
    <xf numFmtId="0" fontId="0" fillId="0" borderId="2" xfId="0" applyBorder="1"/>
    <xf numFmtId="0" fontId="43" fillId="34" borderId="0" xfId="0" applyFont="1" applyFill="1" applyBorder="1" applyAlignment="1">
      <alignment horizontal="left"/>
    </xf>
    <xf numFmtId="0" fontId="8" fillId="0" borderId="2" xfId="0" applyFont="1" applyBorder="1"/>
    <xf numFmtId="0" fontId="7" fillId="0" borderId="0" xfId="0" applyFont="1" applyFill="1" applyBorder="1"/>
    <xf numFmtId="0" fontId="7" fillId="38" borderId="0" xfId="0" applyFont="1" applyFill="1"/>
    <xf numFmtId="0" fontId="17" fillId="0" borderId="2" xfId="0" applyFont="1" applyBorder="1" applyAlignment="1">
      <alignment vertical="center"/>
    </xf>
    <xf numFmtId="3" fontId="8" fillId="0" borderId="2" xfId="0" applyNumberFormat="1" applyFont="1" applyBorder="1"/>
    <xf numFmtId="3" fontId="0" fillId="0" borderId="0" xfId="0" applyNumberFormat="1"/>
    <xf numFmtId="2" fontId="40" fillId="34" borderId="6" xfId="0" applyNumberFormat="1" applyFont="1" applyFill="1" applyBorder="1" applyAlignment="1">
      <alignment horizontal="center" vertical="center" wrapText="1"/>
    </xf>
    <xf numFmtId="0" fontId="38" fillId="34" borderId="6" xfId="0" applyFont="1" applyFill="1" applyBorder="1" applyAlignment="1">
      <alignment horizontal="center" vertical="center"/>
    </xf>
    <xf numFmtId="164" fontId="8" fillId="34" borderId="2" xfId="28" applyNumberFormat="1" applyFont="1" applyFill="1" applyBorder="1" applyAlignment="1">
      <alignment horizontal="right" vertical="center" wrapText="1"/>
    </xf>
    <xf numFmtId="9" fontId="38" fillId="34" borderId="6" xfId="0" applyNumberFormat="1" applyFont="1" applyFill="1" applyBorder="1" applyAlignment="1">
      <alignment horizontal="center" vertical="center" wrapText="1"/>
    </xf>
    <xf numFmtId="166" fontId="38" fillId="37" borderId="7" xfId="0" applyNumberFormat="1" applyFont="1" applyFill="1" applyBorder="1" applyAlignment="1">
      <alignment horizontal="center" vertical="center" wrapText="1"/>
    </xf>
    <xf numFmtId="0" fontId="8" fillId="0" borderId="9" xfId="0" applyFont="1" applyBorder="1"/>
    <xf numFmtId="3" fontId="37" fillId="0" borderId="3" xfId="0" applyNumberFormat="1" applyFont="1" applyFill="1" applyBorder="1" applyAlignment="1">
      <alignment horizontal="right" vertical="center" wrapText="1"/>
    </xf>
    <xf numFmtId="3" fontId="5" fillId="0" borderId="3" xfId="0" applyNumberFormat="1" applyFont="1" applyBorder="1" applyAlignment="1">
      <alignment vertical="center"/>
    </xf>
    <xf numFmtId="3" fontId="37" fillId="0" borderId="2" xfId="0" applyNumberFormat="1" applyFont="1" applyFill="1" applyBorder="1" applyAlignment="1">
      <alignment horizontal="right" vertical="center" wrapText="1"/>
    </xf>
    <xf numFmtId="0" fontId="45" fillId="0" borderId="0" xfId="0" applyFont="1" applyAlignment="1">
      <alignment vertical="center"/>
    </xf>
    <xf numFmtId="0" fontId="38" fillId="0" borderId="2" xfId="0" applyFont="1" applyBorder="1" applyAlignment="1">
      <alignment horizontal="center"/>
    </xf>
    <xf numFmtId="49" fontId="8" fillId="0" borderId="2" xfId="0" applyNumberFormat="1" applyFont="1" applyFill="1" applyBorder="1" applyAlignment="1">
      <alignment horizontal="center" vertical="center" wrapText="1"/>
    </xf>
    <xf numFmtId="0" fontId="43" fillId="0" borderId="0" xfId="0" applyFont="1" applyBorder="1" applyAlignment="1">
      <alignment horizontal="left" vertical="center"/>
    </xf>
    <xf numFmtId="0" fontId="46" fillId="0" borderId="0" xfId="0" applyFont="1"/>
    <xf numFmtId="0" fontId="46" fillId="34" borderId="0" xfId="0" applyFont="1" applyFill="1"/>
    <xf numFmtId="0" fontId="45" fillId="0" borderId="0" xfId="0" applyFont="1" applyAlignment="1">
      <alignment horizontal="left" vertical="center"/>
    </xf>
    <xf numFmtId="0" fontId="37" fillId="0" borderId="0" xfId="0" applyFont="1" applyFill="1" applyBorder="1" applyAlignment="1">
      <alignment vertical="center"/>
    </xf>
    <xf numFmtId="3" fontId="38" fillId="34" borderId="2" xfId="0" applyNumberFormat="1" applyFont="1" applyFill="1" applyBorder="1" applyAlignment="1">
      <alignment horizontal="right" vertical="center" wrapText="1"/>
    </xf>
    <xf numFmtId="0" fontId="38" fillId="0" borderId="0" xfId="0" applyFont="1" applyFill="1" applyBorder="1" applyAlignment="1">
      <alignment vertical="center"/>
    </xf>
    <xf numFmtId="1" fontId="38" fillId="0" borderId="2" xfId="0" applyNumberFormat="1" applyFont="1" applyFill="1" applyBorder="1" applyAlignment="1">
      <alignment horizontal="center" vertical="center" wrapText="1"/>
    </xf>
    <xf numFmtId="165" fontId="38" fillId="0" borderId="2" xfId="27" applyNumberFormat="1" applyFont="1" applyFill="1" applyBorder="1" applyAlignment="1">
      <alignment horizontal="center" vertical="center" wrapText="1"/>
    </xf>
    <xf numFmtId="0" fontId="38" fillId="0" borderId="0" xfId="0" applyFont="1" applyBorder="1" applyAlignment="1"/>
    <xf numFmtId="3" fontId="47" fillId="2" borderId="2" xfId="0" applyNumberFormat="1" applyFont="1" applyFill="1" applyBorder="1"/>
    <xf numFmtId="3" fontId="48" fillId="2" borderId="2" xfId="0" applyNumberFormat="1" applyFont="1" applyFill="1" applyBorder="1"/>
    <xf numFmtId="49" fontId="38" fillId="0" borderId="0" xfId="0" applyNumberFormat="1" applyFont="1" applyFill="1" applyBorder="1" applyAlignment="1">
      <alignment horizontal="center" vertical="center" wrapText="1"/>
    </xf>
    <xf numFmtId="0" fontId="43" fillId="34" borderId="0" xfId="0" applyFont="1" applyFill="1" applyBorder="1" applyAlignment="1">
      <alignment horizontal="left" vertical="center" wrapText="1"/>
    </xf>
    <xf numFmtId="0" fontId="44" fillId="36" borderId="0" xfId="0" applyFont="1" applyFill="1" applyBorder="1" applyAlignment="1">
      <alignment horizontal="center" vertical="center"/>
    </xf>
    <xf numFmtId="0" fontId="37" fillId="34" borderId="8" xfId="0" applyFont="1" applyFill="1" applyBorder="1" applyAlignment="1">
      <alignment horizontal="center" vertical="center" wrapText="1"/>
    </xf>
    <xf numFmtId="0" fontId="49" fillId="0" borderId="2" xfId="0" applyFont="1" applyFill="1" applyBorder="1" applyAlignment="1">
      <alignment horizontal="center" vertical="center" wrapText="1"/>
    </xf>
    <xf numFmtId="2" fontId="38" fillId="2" borderId="3" xfId="0" applyNumberFormat="1" applyFont="1" applyFill="1" applyBorder="1" applyAlignment="1">
      <alignment vertical="center" wrapText="1"/>
    </xf>
    <xf numFmtId="0" fontId="49" fillId="0" borderId="2" xfId="0" quotePrefix="1" applyNumberFormat="1" applyFont="1" applyFill="1" applyBorder="1" applyAlignment="1">
      <alignment horizontal="center" vertical="center" wrapText="1"/>
    </xf>
    <xf numFmtId="0" fontId="49" fillId="0" borderId="2" xfId="0" applyNumberFormat="1" applyFont="1" applyFill="1" applyBorder="1" applyAlignment="1">
      <alignment horizontal="center" vertical="center" wrapText="1"/>
    </xf>
    <xf numFmtId="0" fontId="49" fillId="0" borderId="2" xfId="0" applyFont="1" applyBorder="1" applyAlignment="1">
      <alignment horizontal="center" vertical="center" wrapText="1"/>
    </xf>
    <xf numFmtId="2" fontId="49" fillId="0" borderId="2" xfId="0" applyNumberFormat="1" applyFont="1" applyFill="1" applyBorder="1" applyAlignment="1">
      <alignment horizontal="center" vertical="center" wrapText="1"/>
    </xf>
    <xf numFmtId="0" fontId="49" fillId="0" borderId="4" xfId="0" applyFont="1" applyBorder="1" applyAlignment="1">
      <alignment horizontal="center" vertical="center" wrapText="1"/>
    </xf>
    <xf numFmtId="0" fontId="49" fillId="34" borderId="2" xfId="0" quotePrefix="1" applyNumberFormat="1" applyFont="1" applyFill="1" applyBorder="1" applyAlignment="1">
      <alignment horizontal="center" vertical="center" wrapText="1"/>
    </xf>
    <xf numFmtId="0" fontId="49" fillId="34" borderId="2" xfId="0" applyFont="1" applyFill="1" applyBorder="1" applyAlignment="1">
      <alignment horizontal="center" vertical="center" wrapText="1"/>
    </xf>
    <xf numFmtId="2" fontId="49" fillId="0" borderId="6"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49" fillId="0" borderId="4" xfId="0"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2" xfId="0" applyFont="1" applyBorder="1" applyAlignment="1">
      <alignment horizontal="center" vertical="center" wrapText="1"/>
    </xf>
    <xf numFmtId="0" fontId="50" fillId="34" borderId="2" xfId="0" quotePrefix="1" applyNumberFormat="1" applyFont="1" applyFill="1" applyBorder="1" applyAlignment="1">
      <alignment horizontal="center" vertical="center" wrapText="1"/>
    </xf>
    <xf numFmtId="0" fontId="49" fillId="34" borderId="2"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2" fontId="16" fillId="2" borderId="2" xfId="0" applyNumberFormat="1" applyFont="1" applyFill="1" applyBorder="1" applyAlignment="1">
      <alignment horizontal="center" vertical="center" wrapText="1"/>
    </xf>
    <xf numFmtId="0" fontId="49" fillId="0" borderId="0" xfId="0" applyFont="1"/>
    <xf numFmtId="167" fontId="38" fillId="0" borderId="2" xfId="44" applyNumberFormat="1" applyFont="1" applyFill="1" applyBorder="1" applyAlignment="1">
      <alignment horizontal="right" vertical="center"/>
    </xf>
    <xf numFmtId="164" fontId="38" fillId="36" borderId="2" xfId="28" applyFont="1" applyFill="1" applyBorder="1" applyAlignment="1">
      <alignment horizontal="right" vertical="center" wrapText="1"/>
    </xf>
    <xf numFmtId="171" fontId="43" fillId="36" borderId="2" xfId="0" applyNumberFormat="1" applyFont="1" applyFill="1" applyBorder="1" applyAlignment="1">
      <alignment horizontal="left" vertical="center" wrapText="1"/>
    </xf>
    <xf numFmtId="0" fontId="0" fillId="0" borderId="0" xfId="0"/>
    <xf numFmtId="0" fontId="38" fillId="0" borderId="0" xfId="0" applyFont="1" applyAlignment="1">
      <alignment horizontal="center"/>
    </xf>
    <xf numFmtId="0" fontId="37" fillId="0" borderId="2" xfId="0" applyFont="1" applyFill="1" applyBorder="1" applyAlignment="1">
      <alignment horizontal="center"/>
    </xf>
    <xf numFmtId="9" fontId="8" fillId="0" borderId="25" xfId="40" applyNumberFormat="1" applyFont="1" applyFill="1" applyBorder="1" applyAlignment="1">
      <alignment horizontal="center" vertical="center" wrapText="1"/>
    </xf>
    <xf numFmtId="0" fontId="0" fillId="0" borderId="0" xfId="0" applyFill="1"/>
    <xf numFmtId="3" fontId="38" fillId="0" borderId="0" xfId="0" applyNumberFormat="1" applyFont="1" applyFill="1" applyBorder="1"/>
    <xf numFmtId="3" fontId="5" fillId="0" borderId="3" xfId="0" applyNumberFormat="1" applyFont="1" applyFill="1" applyBorder="1" applyAlignment="1">
      <alignment vertical="center" wrapText="1"/>
    </xf>
    <xf numFmtId="3" fontId="38" fillId="34" borderId="2" xfId="0" applyNumberFormat="1" applyFont="1" applyFill="1" applyBorder="1" applyAlignment="1">
      <alignment vertical="center" wrapText="1"/>
    </xf>
    <xf numFmtId="49" fontId="37" fillId="0" borderId="10" xfId="0" applyNumberFormat="1" applyFont="1" applyFill="1" applyBorder="1" applyAlignment="1">
      <alignment horizontal="left" vertical="center" wrapText="1"/>
    </xf>
    <xf numFmtId="171" fontId="38" fillId="34" borderId="2" xfId="0" applyNumberFormat="1" applyFont="1" applyFill="1" applyBorder="1" applyAlignment="1">
      <alignment horizontal="center" vertical="center" wrapText="1"/>
    </xf>
    <xf numFmtId="167" fontId="38" fillId="34" borderId="2" xfId="44" applyNumberFormat="1" applyFont="1" applyFill="1" applyBorder="1" applyAlignment="1">
      <alignment horizontal="center" vertical="center" wrapText="1"/>
    </xf>
    <xf numFmtId="171" fontId="38" fillId="34" borderId="2" xfId="0" applyNumberFormat="1" applyFont="1" applyFill="1" applyBorder="1" applyAlignment="1">
      <alignment vertical="center" wrapText="1"/>
    </xf>
    <xf numFmtId="0" fontId="45" fillId="0" borderId="0" xfId="0" applyFont="1" applyFill="1" applyAlignment="1">
      <alignment horizontal="left" vertical="center"/>
    </xf>
    <xf numFmtId="0" fontId="36" fillId="0" borderId="0" xfId="0" applyFont="1" applyFill="1" applyAlignment="1">
      <alignment horizontal="left" vertical="center"/>
    </xf>
    <xf numFmtId="0" fontId="5" fillId="0" borderId="8"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3" fontId="7" fillId="0" borderId="2" xfId="0" applyNumberFormat="1" applyFont="1" applyFill="1" applyBorder="1"/>
    <xf numFmtId="0" fontId="8" fillId="0" borderId="0" xfId="0" applyFont="1" applyFill="1" applyBorder="1" applyAlignment="1">
      <alignment horizontal="center"/>
    </xf>
    <xf numFmtId="0" fontId="53" fillId="0" borderId="0" xfId="0" applyFont="1" applyFill="1"/>
    <xf numFmtId="0" fontId="5" fillId="0" borderId="2" xfId="0" applyFont="1" applyFill="1" applyBorder="1" applyAlignment="1">
      <alignment horizontal="center" vertical="center"/>
    </xf>
    <xf numFmtId="164" fontId="8" fillId="0" borderId="2" xfId="28" applyFont="1" applyFill="1" applyBorder="1" applyAlignment="1">
      <alignment horizontal="right" vertical="center" wrapText="1"/>
    </xf>
    <xf numFmtId="49" fontId="8" fillId="0" borderId="3" xfId="0" applyNumberFormat="1" applyFont="1" applyFill="1" applyBorder="1" applyAlignment="1">
      <alignment horizontal="right" vertical="center" wrapText="1"/>
    </xf>
    <xf numFmtId="0" fontId="5" fillId="0" borderId="2" xfId="0" applyFont="1" applyFill="1" applyBorder="1" applyAlignment="1">
      <alignment horizontal="center"/>
    </xf>
    <xf numFmtId="0" fontId="16" fillId="0" borderId="2" xfId="0" quotePrefix="1" applyNumberFormat="1" applyFont="1" applyFill="1" applyBorder="1" applyAlignment="1">
      <alignment horizontal="center" vertical="center" wrapText="1"/>
    </xf>
    <xf numFmtId="2" fontId="8" fillId="0" borderId="2" xfId="0" applyNumberFormat="1" applyFont="1" applyFill="1" applyBorder="1" applyAlignment="1">
      <alignment horizontal="right" vertical="center"/>
    </xf>
    <xf numFmtId="165" fontId="8" fillId="0" borderId="2" xfId="27" applyNumberFormat="1" applyFont="1" applyFill="1" applyBorder="1" applyAlignment="1">
      <alignment horizontal="right" vertical="center"/>
    </xf>
    <xf numFmtId="0" fontId="8" fillId="0" borderId="2" xfId="0" applyFont="1" applyFill="1" applyBorder="1" applyAlignment="1">
      <alignment horizontal="center" vertical="center"/>
    </xf>
    <xf numFmtId="164" fontId="8" fillId="0" borderId="2" xfId="0" applyNumberFormat="1" applyFont="1" applyFill="1" applyBorder="1" applyAlignment="1">
      <alignment horizontal="right" vertical="center"/>
    </xf>
    <xf numFmtId="165" fontId="8" fillId="0" borderId="2" xfId="27" applyNumberFormat="1" applyFont="1" applyFill="1" applyBorder="1" applyAlignment="1">
      <alignment horizontal="right" vertical="center" wrapText="1"/>
    </xf>
    <xf numFmtId="168" fontId="8" fillId="0" borderId="3" xfId="44" applyNumberFormat="1" applyFont="1" applyFill="1" applyBorder="1" applyAlignment="1">
      <alignment horizontal="center" vertical="center" wrapText="1"/>
    </xf>
    <xf numFmtId="166" fontId="8" fillId="0" borderId="2" xfId="0" applyNumberFormat="1" applyFont="1" applyFill="1" applyBorder="1" applyAlignment="1">
      <alignment horizontal="right" vertical="center"/>
    </xf>
    <xf numFmtId="4" fontId="8" fillId="0" borderId="2" xfId="0" applyNumberFormat="1" applyFont="1" applyFill="1" applyBorder="1" applyAlignment="1">
      <alignment horizontal="right" vertical="center"/>
    </xf>
    <xf numFmtId="168" fontId="8" fillId="0" borderId="2" xfId="44" applyNumberFormat="1" applyFont="1" applyFill="1" applyBorder="1" applyAlignment="1">
      <alignment horizontal="center" vertical="center" wrapText="1"/>
    </xf>
    <xf numFmtId="3" fontId="5" fillId="0" borderId="3" xfId="0" applyNumberFormat="1" applyFont="1" applyBorder="1" applyAlignment="1">
      <alignment horizontal="center" vertical="center"/>
    </xf>
    <xf numFmtId="9" fontId="38" fillId="0" borderId="2" xfId="44" applyNumberFormat="1" applyFont="1" applyFill="1" applyBorder="1" applyAlignment="1">
      <alignment horizontal="right" vertical="center"/>
    </xf>
    <xf numFmtId="3" fontId="38" fillId="0" borderId="3" xfId="0" applyNumberFormat="1" applyFont="1" applyFill="1" applyBorder="1" applyAlignment="1">
      <alignment vertical="center" wrapText="1"/>
    </xf>
    <xf numFmtId="167" fontId="38" fillId="0" borderId="10" xfId="44" applyNumberFormat="1" applyFont="1" applyFill="1" applyBorder="1" applyAlignment="1">
      <alignment vertical="center" wrapText="1"/>
    </xf>
    <xf numFmtId="171" fontId="38" fillId="0" borderId="9" xfId="0" applyNumberFormat="1" applyFont="1" applyFill="1" applyBorder="1" applyAlignment="1">
      <alignment horizontal="center" vertical="center" wrapText="1"/>
    </xf>
    <xf numFmtId="9" fontId="38" fillId="0" borderId="10" xfId="44" applyNumberFormat="1" applyFont="1" applyFill="1" applyBorder="1" applyAlignment="1">
      <alignment vertical="center" wrapText="1"/>
    </xf>
    <xf numFmtId="164" fontId="38" fillId="35" borderId="6" xfId="0" applyNumberFormat="1" applyFont="1" applyFill="1" applyBorder="1" applyAlignment="1">
      <alignment horizontal="right" vertical="center" wrapText="1"/>
    </xf>
    <xf numFmtId="164" fontId="38" fillId="0" borderId="6" xfId="0" applyNumberFormat="1" applyFont="1" applyFill="1" applyBorder="1" applyAlignment="1">
      <alignment horizontal="right" vertical="center"/>
    </xf>
    <xf numFmtId="169" fontId="38" fillId="0" borderId="2" xfId="28" applyNumberFormat="1" applyFont="1" applyFill="1" applyBorder="1" applyAlignment="1">
      <alignment horizontal="center" vertical="center" wrapText="1"/>
    </xf>
    <xf numFmtId="9" fontId="38" fillId="0" borderId="2" xfId="44" applyNumberFormat="1" applyFont="1" applyFill="1" applyBorder="1" applyAlignment="1">
      <alignment vertical="center" wrapText="1"/>
    </xf>
    <xf numFmtId="171" fontId="38" fillId="0" borderId="2" xfId="0" applyNumberFormat="1" applyFont="1" applyFill="1" applyBorder="1" applyAlignment="1">
      <alignment horizontal="center" vertical="center" wrapText="1"/>
    </xf>
    <xf numFmtId="0" fontId="38" fillId="0" borderId="2" xfId="28" applyNumberFormat="1" applyFont="1" applyFill="1" applyBorder="1" applyAlignment="1">
      <alignment horizontal="center" vertical="center" wrapText="1"/>
    </xf>
    <xf numFmtId="3" fontId="38" fillId="2" borderId="2" xfId="0" applyNumberFormat="1" applyFont="1" applyFill="1" applyBorder="1"/>
    <xf numFmtId="0" fontId="38" fillId="39" borderId="0" xfId="0" applyFont="1" applyFill="1" applyBorder="1" applyAlignment="1">
      <alignment horizontal="center" wrapText="1"/>
    </xf>
    <xf numFmtId="3" fontId="48" fillId="2" borderId="3" xfId="0" applyNumberFormat="1" applyFont="1" applyFill="1" applyBorder="1"/>
    <xf numFmtId="3" fontId="38" fillId="2" borderId="3" xfId="0" applyNumberFormat="1" applyFont="1" applyFill="1" applyBorder="1"/>
    <xf numFmtId="9" fontId="8" fillId="36" borderId="25" xfId="40" applyNumberFormat="1" applyFont="1" applyFill="1" applyBorder="1" applyAlignment="1">
      <alignment horizontal="center" vertical="center" wrapText="1"/>
    </xf>
    <xf numFmtId="3" fontId="47" fillId="2" borderId="3" xfId="0" applyNumberFormat="1" applyFont="1" applyFill="1" applyBorder="1"/>
    <xf numFmtId="165" fontId="38" fillId="36" borderId="2" xfId="27" applyNumberFormat="1" applyFont="1" applyFill="1" applyBorder="1" applyAlignment="1">
      <alignment horizontal="right" vertical="center"/>
    </xf>
    <xf numFmtId="0" fontId="38" fillId="36" borderId="0" xfId="0" applyFont="1" applyFill="1" applyBorder="1" applyAlignment="1">
      <alignment horizontal="left"/>
    </xf>
    <xf numFmtId="0" fontId="38" fillId="40" borderId="0" xfId="0" applyFont="1" applyFill="1" applyBorder="1" applyAlignment="1"/>
    <xf numFmtId="2" fontId="16" fillId="0" borderId="2" xfId="0" applyNumberFormat="1" applyFont="1" applyFill="1" applyBorder="1" applyAlignment="1">
      <alignment horizontal="center" vertical="center" wrapText="1"/>
    </xf>
    <xf numFmtId="166" fontId="38" fillId="0" borderId="4" xfId="0" applyNumberFormat="1" applyFont="1" applyFill="1" applyBorder="1" applyAlignment="1">
      <alignment horizontal="right" vertical="center"/>
    </xf>
    <xf numFmtId="49" fontId="37" fillId="0" borderId="10" xfId="0" applyNumberFormat="1" applyFont="1" applyFill="1" applyBorder="1" applyAlignment="1">
      <alignment horizontal="left" vertical="center" wrapText="1"/>
    </xf>
    <xf numFmtId="0" fontId="38" fillId="0" borderId="2" xfId="0" applyFont="1" applyBorder="1" applyAlignment="1">
      <alignment horizontal="center"/>
    </xf>
    <xf numFmtId="1" fontId="37" fillId="0" borderId="2" xfId="0" applyNumberFormat="1" applyFont="1" applyBorder="1" applyAlignment="1">
      <alignment horizontal="center" vertical="center" wrapText="1"/>
    </xf>
    <xf numFmtId="0" fontId="37" fillId="0" borderId="0" xfId="0" applyFont="1" applyFill="1" applyBorder="1" applyAlignment="1">
      <alignment vertical="center"/>
    </xf>
    <xf numFmtId="3" fontId="5" fillId="34" borderId="2" xfId="0" applyNumberFormat="1" applyFont="1" applyFill="1" applyBorder="1" applyAlignment="1">
      <alignment vertical="center" wrapText="1"/>
    </xf>
    <xf numFmtId="3" fontId="8" fillId="0" borderId="2" xfId="0" applyNumberFormat="1" applyFont="1" applyFill="1" applyBorder="1" applyAlignment="1">
      <alignment vertical="center" wrapText="1"/>
    </xf>
    <xf numFmtId="9" fontId="8" fillId="0" borderId="2" xfId="44" applyNumberFormat="1" applyFont="1" applyFill="1" applyBorder="1" applyAlignment="1">
      <alignment horizontal="right" vertical="center"/>
    </xf>
    <xf numFmtId="2" fontId="8" fillId="2" borderId="3" xfId="0" applyNumberFormat="1" applyFont="1" applyFill="1" applyBorder="1" applyAlignment="1">
      <alignment vertical="center" wrapText="1"/>
    </xf>
    <xf numFmtId="0" fontId="49" fillId="2" borderId="2" xfId="0" applyFont="1" applyFill="1" applyBorder="1" applyAlignment="1">
      <alignment horizontal="center" vertical="center" wrapText="1"/>
    </xf>
    <xf numFmtId="168" fontId="38" fillId="2" borderId="3" xfId="0" applyNumberFormat="1" applyFont="1" applyFill="1" applyBorder="1" applyAlignment="1">
      <alignment vertical="center" wrapText="1"/>
    </xf>
    <xf numFmtId="9" fontId="38" fillId="0" borderId="2" xfId="44" applyFont="1" applyFill="1" applyBorder="1" applyAlignment="1">
      <alignment horizontal="right" vertical="center"/>
    </xf>
    <xf numFmtId="0" fontId="38" fillId="36" borderId="0" xfId="0" applyFont="1" applyFill="1" applyBorder="1" applyAlignment="1">
      <alignment horizontal="center" wrapText="1"/>
    </xf>
    <xf numFmtId="9" fontId="38" fillId="34" borderId="2" xfId="44" applyFont="1" applyFill="1" applyBorder="1" applyAlignment="1">
      <alignment horizontal="right" vertical="center"/>
    </xf>
    <xf numFmtId="0" fontId="49" fillId="0" borderId="8" xfId="0" applyNumberFormat="1" applyFont="1" applyFill="1" applyBorder="1" applyAlignment="1">
      <alignment horizontal="center" vertical="center" wrapText="1"/>
    </xf>
    <xf numFmtId="0" fontId="38" fillId="0" borderId="8" xfId="0" applyFont="1" applyFill="1" applyBorder="1" applyAlignment="1">
      <alignment horizontal="center" vertical="center" wrapText="1"/>
    </xf>
    <xf numFmtId="2" fontId="38" fillId="0" borderId="8" xfId="0" applyNumberFormat="1" applyFont="1" applyFill="1" applyBorder="1" applyAlignment="1">
      <alignment horizontal="right" vertical="center"/>
    </xf>
    <xf numFmtId="3" fontId="38" fillId="0" borderId="8" xfId="0" applyNumberFormat="1" applyFont="1" applyFill="1" applyBorder="1" applyAlignment="1">
      <alignment vertical="center"/>
    </xf>
    <xf numFmtId="9" fontId="38" fillId="2" borderId="8" xfId="0" applyNumberFormat="1" applyFont="1" applyFill="1" applyBorder="1" applyAlignment="1">
      <alignment horizontal="right" vertical="center" wrapText="1"/>
    </xf>
    <xf numFmtId="168" fontId="38" fillId="2" borderId="15" xfId="0" applyNumberFormat="1" applyFont="1" applyFill="1" applyBorder="1" applyAlignment="1">
      <alignment vertical="center" wrapText="1"/>
    </xf>
    <xf numFmtId="3" fontId="38" fillId="2" borderId="2" xfId="0" applyNumberFormat="1" applyFont="1" applyFill="1" applyBorder="1" applyAlignment="1">
      <alignment vertical="center" wrapText="1"/>
    </xf>
    <xf numFmtId="9" fontId="38" fillId="0" borderId="2" xfId="0" applyNumberFormat="1" applyFont="1" applyBorder="1" applyAlignment="1">
      <alignment horizontal="right" vertical="center" wrapText="1"/>
    </xf>
    <xf numFmtId="166" fontId="38" fillId="35" borderId="3" xfId="0" applyNumberFormat="1" applyFont="1" applyFill="1" applyBorder="1" applyAlignment="1">
      <alignment vertical="center" wrapText="1"/>
    </xf>
    <xf numFmtId="37" fontId="38" fillId="0" borderId="2" xfId="0" applyNumberFormat="1" applyFont="1" applyBorder="1" applyAlignment="1">
      <alignment horizontal="right" vertical="center" wrapText="1"/>
    </xf>
    <xf numFmtId="0" fontId="49" fillId="0" borderId="6" xfId="0" quotePrefix="1" applyNumberFormat="1" applyFont="1" applyFill="1" applyBorder="1" applyAlignment="1">
      <alignment horizontal="center" vertical="center" wrapText="1"/>
    </xf>
    <xf numFmtId="9" fontId="38" fillId="0" borderId="6" xfId="0" applyNumberFormat="1" applyFont="1" applyFill="1" applyBorder="1" applyAlignment="1">
      <alignment horizontal="right" vertical="center" wrapText="1"/>
    </xf>
    <xf numFmtId="166" fontId="38" fillId="0" borderId="7" xfId="0" applyNumberFormat="1" applyFont="1" applyFill="1" applyBorder="1" applyAlignment="1">
      <alignment vertical="center" wrapText="1"/>
    </xf>
    <xf numFmtId="37" fontId="38" fillId="0" borderId="2" xfId="0" applyNumberFormat="1" applyFont="1" applyBorder="1" applyAlignment="1">
      <alignment vertical="center" wrapText="1"/>
    </xf>
    <xf numFmtId="9" fontId="38" fillId="0" borderId="6" xfId="0" applyNumberFormat="1" applyFont="1" applyBorder="1" applyAlignment="1">
      <alignment horizontal="right" vertical="center" wrapText="1"/>
    </xf>
    <xf numFmtId="166" fontId="38" fillId="35" borderId="7" xfId="0" applyNumberFormat="1" applyFont="1" applyFill="1" applyBorder="1" applyAlignment="1">
      <alignment vertical="center" wrapText="1"/>
    </xf>
    <xf numFmtId="166" fontId="38" fillId="0" borderId="3" xfId="44" applyNumberFormat="1" applyFont="1" applyFill="1" applyBorder="1" applyAlignment="1">
      <alignment vertical="center" wrapText="1"/>
    </xf>
    <xf numFmtId="0" fontId="38" fillId="35" borderId="4" xfId="0" applyFont="1" applyFill="1" applyBorder="1" applyAlignment="1">
      <alignment horizontal="center" vertical="center" wrapText="1"/>
    </xf>
    <xf numFmtId="9" fontId="38" fillId="2" borderId="4" xfId="0" applyNumberFormat="1" applyFont="1" applyFill="1" applyBorder="1" applyAlignment="1">
      <alignment horizontal="right" vertical="center" wrapText="1"/>
    </xf>
    <xf numFmtId="168" fontId="38" fillId="2" borderId="1" xfId="0" applyNumberFormat="1" applyFont="1" applyFill="1" applyBorder="1" applyAlignment="1">
      <alignment vertical="center" wrapText="1"/>
    </xf>
    <xf numFmtId="3" fontId="38" fillId="2" borderId="2" xfId="0" applyNumberFormat="1" applyFont="1" applyFill="1" applyBorder="1" applyAlignment="1">
      <alignment horizontal="right" vertical="center" wrapText="1"/>
    </xf>
    <xf numFmtId="166" fontId="38" fillId="35" borderId="3" xfId="0" applyNumberFormat="1" applyFont="1" applyFill="1" applyBorder="1" applyAlignment="1">
      <alignment horizontal="right" vertical="center" wrapText="1"/>
    </xf>
    <xf numFmtId="0" fontId="49" fillId="0" borderId="8" xfId="0" applyFont="1" applyBorder="1" applyAlignment="1">
      <alignment horizontal="center" vertical="center" wrapText="1"/>
    </xf>
    <xf numFmtId="0" fontId="38" fillId="35" borderId="8" xfId="0" applyFont="1" applyFill="1" applyBorder="1" applyAlignment="1">
      <alignment horizontal="center" vertical="center" wrapText="1"/>
    </xf>
    <xf numFmtId="165" fontId="38" fillId="35" borderId="8" xfId="27" applyNumberFormat="1" applyFont="1" applyFill="1" applyBorder="1" applyAlignment="1">
      <alignment horizontal="right" vertical="center" wrapText="1"/>
    </xf>
    <xf numFmtId="9" fontId="38" fillId="0" borderId="8" xfId="0" applyNumberFormat="1" applyFont="1" applyBorder="1" applyAlignment="1">
      <alignment horizontal="right" vertical="center" wrapText="1"/>
    </xf>
    <xf numFmtId="166" fontId="38" fillId="35" borderId="15" xfId="0" applyNumberFormat="1" applyFont="1" applyFill="1" applyBorder="1" applyAlignment="1">
      <alignment vertical="center" wrapText="1"/>
    </xf>
    <xf numFmtId="49" fontId="37" fillId="0" borderId="26" xfId="0" applyNumberFormat="1" applyFont="1" applyFill="1" applyBorder="1" applyAlignment="1">
      <alignment horizontal="center" vertical="center" wrapText="1"/>
    </xf>
    <xf numFmtId="49" fontId="38" fillId="0" borderId="26" xfId="0" applyNumberFormat="1" applyFont="1" applyFill="1" applyBorder="1" applyAlignment="1">
      <alignment horizontal="center" vertical="center" wrapText="1"/>
    </xf>
    <xf numFmtId="49" fontId="38" fillId="0" borderId="26" xfId="0" applyNumberFormat="1" applyFont="1" applyFill="1" applyBorder="1" applyAlignment="1">
      <alignment horizontal="left" vertical="center" wrapText="1"/>
    </xf>
    <xf numFmtId="0" fontId="49" fillId="0" borderId="26" xfId="0" applyFont="1" applyFill="1" applyBorder="1" applyAlignment="1">
      <alignment horizontal="center" vertical="center" wrapText="1"/>
    </xf>
    <xf numFmtId="0" fontId="38" fillId="0" borderId="26" xfId="0" applyFont="1" applyFill="1" applyBorder="1" applyAlignment="1">
      <alignment horizontal="right" vertical="center"/>
    </xf>
    <xf numFmtId="165" fontId="38" fillId="0" borderId="26" xfId="27" applyNumberFormat="1" applyFont="1" applyFill="1" applyBorder="1" applyAlignment="1">
      <alignment horizontal="right" vertical="center"/>
    </xf>
    <xf numFmtId="9" fontId="38" fillId="0" borderId="26" xfId="44" applyFont="1" applyFill="1" applyBorder="1" applyAlignment="1">
      <alignment horizontal="right" vertical="center"/>
    </xf>
    <xf numFmtId="168" fontId="38" fillId="2" borderId="27" xfId="0" applyNumberFormat="1" applyFont="1" applyFill="1" applyBorder="1" applyAlignment="1">
      <alignment vertical="center" wrapText="1"/>
    </xf>
    <xf numFmtId="0" fontId="5" fillId="0" borderId="2" xfId="0" applyFont="1" applyBorder="1" applyAlignment="1">
      <alignment horizontal="center" vertical="center"/>
    </xf>
    <xf numFmtId="2" fontId="8" fillId="2" borderId="2" xfId="0" applyNumberFormat="1" applyFont="1" applyFill="1" applyBorder="1" applyAlignment="1">
      <alignment vertical="center" wrapText="1"/>
    </xf>
    <xf numFmtId="3" fontId="7" fillId="2" borderId="2" xfId="0" applyNumberFormat="1" applyFont="1" applyFill="1" applyBorder="1"/>
    <xf numFmtId="0" fontId="8" fillId="0" borderId="0" xfId="0" applyFont="1" applyBorder="1" applyAlignment="1">
      <alignment horizontal="center"/>
    </xf>
    <xf numFmtId="0" fontId="8" fillId="0" borderId="0" xfId="0" applyFont="1" applyAlignment="1">
      <alignment horizontal="center"/>
    </xf>
    <xf numFmtId="49" fontId="8" fillId="0" borderId="2" xfId="0" applyNumberFormat="1" applyFont="1" applyFill="1" applyBorder="1" applyAlignment="1">
      <alignment horizontal="right" vertical="center" wrapText="1"/>
    </xf>
    <xf numFmtId="0" fontId="49" fillId="0" borderId="6" xfId="0" applyFont="1" applyBorder="1" applyAlignment="1">
      <alignment horizontal="center" vertical="center" wrapText="1"/>
    </xf>
    <xf numFmtId="168" fontId="38" fillId="2" borderId="7" xfId="0" applyNumberFormat="1" applyFont="1" applyFill="1" applyBorder="1" applyAlignment="1">
      <alignment vertical="center" wrapText="1"/>
    </xf>
    <xf numFmtId="0" fontId="37" fillId="0" borderId="6" xfId="0" applyFont="1" applyBorder="1" applyAlignment="1">
      <alignment horizontal="center" vertical="center"/>
    </xf>
    <xf numFmtId="49" fontId="37" fillId="0" borderId="6" xfId="0" applyNumberFormat="1" applyFont="1" applyFill="1" applyBorder="1" applyAlignment="1">
      <alignment horizontal="center" vertical="center" wrapText="1"/>
    </xf>
    <xf numFmtId="0" fontId="5" fillId="0" borderId="8" xfId="0" applyFont="1" applyBorder="1" applyAlignment="1">
      <alignment horizontal="center" vertical="center"/>
    </xf>
    <xf numFmtId="49" fontId="5" fillId="0" borderId="8" xfId="0" applyNumberFormat="1" applyFont="1" applyFill="1" applyBorder="1" applyAlignment="1">
      <alignment horizontal="center" vertical="center" wrapText="1"/>
    </xf>
    <xf numFmtId="0" fontId="49" fillId="0" borderId="8" xfId="0" quotePrefix="1" applyNumberFormat="1" applyFont="1" applyFill="1" applyBorder="1" applyAlignment="1">
      <alignment horizontal="center" vertical="center" wrapText="1"/>
    </xf>
    <xf numFmtId="165" fontId="38" fillId="0" borderId="8" xfId="27" applyNumberFormat="1" applyFont="1" applyFill="1" applyBorder="1" applyAlignment="1">
      <alignment horizontal="right" vertical="center" wrapText="1"/>
    </xf>
    <xf numFmtId="9" fontId="38" fillId="0" borderId="4" xfId="44" applyNumberFormat="1" applyFont="1" applyFill="1" applyBorder="1" applyAlignment="1">
      <alignment horizontal="right" vertical="center"/>
    </xf>
    <xf numFmtId="168" fontId="8" fillId="34" borderId="3" xfId="44" applyNumberFormat="1" applyFont="1" applyFill="1" applyBorder="1" applyAlignment="1">
      <alignment vertical="center" wrapText="1"/>
    </xf>
    <xf numFmtId="0" fontId="44" fillId="36" borderId="0" xfId="0" applyFont="1" applyFill="1" applyBorder="1" applyAlignment="1">
      <alignment horizontal="center" vertical="center" wrapText="1"/>
    </xf>
    <xf numFmtId="168" fontId="38" fillId="2" borderId="2" xfId="0" applyNumberFormat="1" applyFont="1" applyFill="1" applyBorder="1" applyAlignment="1">
      <alignment vertical="center" wrapText="1"/>
    </xf>
    <xf numFmtId="165" fontId="38" fillId="35" borderId="6" xfId="27" applyNumberFormat="1" applyFont="1" applyFill="1" applyBorder="1" applyAlignment="1">
      <alignment horizontal="right" vertical="center" wrapText="1"/>
    </xf>
    <xf numFmtId="37" fontId="38" fillId="0" borderId="6" xfId="0" applyNumberFormat="1" applyFont="1" applyBorder="1" applyAlignment="1">
      <alignment horizontal="right" vertical="center" wrapText="1"/>
    </xf>
    <xf numFmtId="0" fontId="38" fillId="35" borderId="6" xfId="0" applyFont="1" applyFill="1" applyBorder="1" applyAlignment="1">
      <alignment horizontal="right" vertical="center" wrapText="1"/>
    </xf>
    <xf numFmtId="0" fontId="5" fillId="0" borderId="4" xfId="0" applyFont="1" applyBorder="1" applyAlignment="1">
      <alignment horizontal="center" vertical="center"/>
    </xf>
    <xf numFmtId="49" fontId="5" fillId="0" borderId="4" xfId="0" applyNumberFormat="1" applyFont="1" applyFill="1" applyBorder="1" applyAlignment="1">
      <alignment horizontal="center" vertical="center" wrapText="1"/>
    </xf>
    <xf numFmtId="2" fontId="49" fillId="0" borderId="8" xfId="0" applyNumberFormat="1" applyFont="1" applyFill="1" applyBorder="1" applyAlignment="1">
      <alignment horizontal="center" vertical="center" wrapText="1"/>
    </xf>
    <xf numFmtId="1" fontId="38" fillId="0" borderId="8" xfId="0" applyNumberFormat="1" applyFont="1" applyFill="1" applyBorder="1" applyAlignment="1">
      <alignment horizontal="right" vertical="center"/>
    </xf>
    <xf numFmtId="4" fontId="8" fillId="0" borderId="3" xfId="0" applyNumberFormat="1" applyFont="1" applyFill="1" applyBorder="1" applyAlignment="1">
      <alignment vertical="center" wrapText="1"/>
    </xf>
    <xf numFmtId="0" fontId="49" fillId="0" borderId="2" xfId="0" applyFont="1" applyBorder="1" applyAlignment="1">
      <alignment horizontal="center" vertical="center"/>
    </xf>
    <xf numFmtId="49" fontId="37" fillId="0" borderId="8" xfId="0" applyNumberFormat="1" applyFont="1" applyFill="1" applyBorder="1" applyAlignment="1">
      <alignment horizontal="left" vertical="center" wrapText="1"/>
    </xf>
    <xf numFmtId="9" fontId="38" fillId="0" borderId="8" xfId="0" applyNumberFormat="1" applyFont="1" applyFill="1" applyBorder="1" applyAlignment="1">
      <alignment horizontal="right" vertical="center" wrapText="1"/>
    </xf>
    <xf numFmtId="166" fontId="38" fillId="0" borderId="15" xfId="0" applyNumberFormat="1" applyFont="1" applyFill="1" applyBorder="1" applyAlignment="1">
      <alignment vertical="center" wrapText="1"/>
    </xf>
    <xf numFmtId="49" fontId="38" fillId="0" borderId="2" xfId="0" applyNumberFormat="1" applyFont="1" applyFill="1" applyBorder="1" applyAlignment="1">
      <alignment horizontal="right" vertical="center" wrapText="1"/>
    </xf>
    <xf numFmtId="168" fontId="38" fillId="0" borderId="3" xfId="0" applyNumberFormat="1" applyFont="1" applyFill="1" applyBorder="1" applyAlignment="1">
      <alignment vertical="center" wrapText="1"/>
    </xf>
    <xf numFmtId="3" fontId="5" fillId="0" borderId="3" xfId="0" applyNumberFormat="1" applyFont="1" applyBorder="1" applyAlignment="1">
      <alignment horizontal="right" vertical="center"/>
    </xf>
    <xf numFmtId="0" fontId="38" fillId="0" borderId="2" xfId="0" applyFont="1" applyBorder="1" applyAlignment="1">
      <alignment horizontal="center"/>
    </xf>
    <xf numFmtId="0" fontId="37" fillId="0" borderId="12" xfId="0" applyFont="1" applyBorder="1" applyAlignment="1">
      <alignment horizontal="center" vertical="center"/>
    </xf>
    <xf numFmtId="0" fontId="38" fillId="0" borderId="13" xfId="0" applyFont="1" applyBorder="1" applyAlignment="1">
      <alignment horizontal="center" vertical="center"/>
    </xf>
    <xf numFmtId="49" fontId="37" fillId="0" borderId="3" xfId="0" applyNumberFormat="1" applyFont="1" applyFill="1" applyBorder="1" applyAlignment="1">
      <alignment horizontal="center" vertical="center" wrapText="1"/>
    </xf>
    <xf numFmtId="49" fontId="37" fillId="0" borderId="10" xfId="0" applyNumberFormat="1" applyFont="1" applyFill="1" applyBorder="1" applyAlignment="1">
      <alignment horizontal="center" vertical="center" wrapText="1"/>
    </xf>
    <xf numFmtId="169" fontId="37" fillId="0" borderId="10" xfId="0" applyNumberFormat="1" applyFont="1" applyFill="1" applyBorder="1" applyAlignment="1">
      <alignment horizontal="center" vertical="center" wrapText="1"/>
    </xf>
    <xf numFmtId="168" fontId="37" fillId="0" borderId="9" xfId="0" applyNumberFormat="1" applyFont="1" applyFill="1" applyBorder="1" applyAlignment="1">
      <alignment horizontal="center" vertical="center" wrapText="1"/>
    </xf>
    <xf numFmtId="49" fontId="37" fillId="0" borderId="3" xfId="0" applyNumberFormat="1" applyFont="1" applyFill="1" applyBorder="1" applyAlignment="1">
      <alignment horizontal="left" vertical="center" wrapText="1"/>
    </xf>
    <xf numFmtId="49" fontId="37" fillId="0" borderId="10" xfId="0" applyNumberFormat="1" applyFont="1" applyFill="1" applyBorder="1" applyAlignment="1">
      <alignment horizontal="left" vertical="center" wrapText="1"/>
    </xf>
    <xf numFmtId="49" fontId="37" fillId="0" borderId="9" xfId="0" applyNumberFormat="1" applyFont="1" applyFill="1" applyBorder="1" applyAlignment="1">
      <alignment horizontal="left" vertical="center" wrapText="1"/>
    </xf>
    <xf numFmtId="49" fontId="37" fillId="0" borderId="2" xfId="0" applyNumberFormat="1" applyFont="1" applyFill="1" applyBorder="1" applyAlignment="1">
      <alignment horizontal="left" vertical="center" wrapText="1"/>
    </xf>
    <xf numFmtId="0" fontId="37" fillId="0" borderId="0" xfId="0" applyFont="1" applyFill="1" applyBorder="1" applyAlignment="1">
      <alignment horizontal="center" vertical="center"/>
    </xf>
    <xf numFmtId="1" fontId="37" fillId="0" borderId="0" xfId="0" applyNumberFormat="1" applyFont="1" applyFill="1" applyBorder="1" applyAlignment="1">
      <alignment horizontal="right" vertical="center"/>
    </xf>
    <xf numFmtId="0" fontId="37" fillId="0" borderId="0" xfId="0" applyFont="1" applyFill="1" applyBorder="1" applyAlignment="1">
      <alignment horizontal="right" vertical="center"/>
    </xf>
    <xf numFmtId="0" fontId="37" fillId="0" borderId="0" xfId="0" applyFont="1" applyFill="1" applyBorder="1" applyAlignment="1">
      <alignment vertical="center"/>
    </xf>
    <xf numFmtId="166" fontId="37" fillId="0" borderId="0" xfId="0" applyNumberFormat="1" applyFont="1" applyFill="1" applyBorder="1" applyAlignment="1">
      <alignment horizontal="right" vertical="center"/>
    </xf>
    <xf numFmtId="0" fontId="37" fillId="0" borderId="0" xfId="41" applyFont="1" applyFill="1" applyBorder="1" applyAlignment="1">
      <alignment horizontal="center" vertical="center" wrapText="1"/>
    </xf>
    <xf numFmtId="1" fontId="37" fillId="0" borderId="0" xfId="41" applyNumberFormat="1" applyFont="1" applyFill="1" applyBorder="1" applyAlignment="1">
      <alignment horizontal="right" vertical="center" wrapText="1"/>
    </xf>
    <xf numFmtId="0" fontId="37" fillId="0" borderId="0" xfId="41" applyFont="1" applyFill="1" applyBorder="1" applyAlignment="1">
      <alignment horizontal="right" vertical="center" wrapText="1"/>
    </xf>
    <xf numFmtId="0" fontId="37" fillId="0" borderId="0" xfId="41" applyFont="1" applyFill="1" applyBorder="1" applyAlignment="1">
      <alignment vertical="center" wrapText="1"/>
    </xf>
    <xf numFmtId="166" fontId="37" fillId="0" borderId="0" xfId="41" applyNumberFormat="1" applyFont="1" applyFill="1" applyBorder="1" applyAlignment="1">
      <alignment horizontal="right" vertical="center" wrapText="1"/>
    </xf>
    <xf numFmtId="0" fontId="37" fillId="0" borderId="2" xfId="0" applyFont="1" applyBorder="1" applyAlignment="1">
      <alignment horizontal="center" vertical="center" wrapText="1"/>
    </xf>
    <xf numFmtId="0" fontId="38" fillId="0" borderId="2" xfId="0" applyFont="1" applyBorder="1"/>
    <xf numFmtId="49" fontId="37" fillId="0" borderId="2" xfId="0" applyNumberFormat="1" applyFont="1" applyBorder="1" applyAlignment="1">
      <alignment horizontal="center" vertical="center" wrapText="1"/>
    </xf>
    <xf numFmtId="1" fontId="37" fillId="0" borderId="2" xfId="0" applyNumberFormat="1" applyFont="1" applyBorder="1" applyAlignment="1">
      <alignment horizontal="center" vertical="center" wrapText="1"/>
    </xf>
    <xf numFmtId="0" fontId="38" fillId="0" borderId="2" xfId="0" applyFont="1" applyBorder="1" applyAlignment="1">
      <alignment horizontal="right"/>
    </xf>
    <xf numFmtId="166" fontId="38" fillId="0" borderId="2" xfId="0" applyNumberFormat="1" applyFont="1" applyBorder="1"/>
    <xf numFmtId="3" fontId="8" fillId="0" borderId="2"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49" fontId="37" fillId="34" borderId="3" xfId="0" applyNumberFormat="1" applyFont="1" applyFill="1" applyBorder="1" applyAlignment="1">
      <alignment horizontal="left" vertical="center" wrapText="1"/>
    </xf>
    <xf numFmtId="49" fontId="37" fillId="34" borderId="10" xfId="0" applyNumberFormat="1" applyFont="1" applyFill="1" applyBorder="1" applyAlignment="1">
      <alignment horizontal="left" vertical="center" wrapText="1"/>
    </xf>
    <xf numFmtId="49" fontId="37" fillId="34" borderId="9" xfId="0" applyNumberFormat="1" applyFont="1" applyFill="1" applyBorder="1" applyAlignment="1">
      <alignment horizontal="left" vertical="center" wrapText="1"/>
    </xf>
    <xf numFmtId="3" fontId="38" fillId="0" borderId="1" xfId="0" applyNumberFormat="1" applyFont="1" applyFill="1" applyBorder="1" applyAlignment="1">
      <alignment horizontal="center" vertical="center" wrapText="1"/>
    </xf>
    <xf numFmtId="3" fontId="38" fillId="0" borderId="11" xfId="0" applyNumberFormat="1" applyFont="1" applyFill="1" applyBorder="1" applyAlignment="1">
      <alignment horizontal="center" vertical="center" wrapText="1"/>
    </xf>
    <xf numFmtId="3" fontId="38" fillId="0" borderId="12" xfId="0" applyNumberFormat="1" applyFont="1" applyFill="1" applyBorder="1" applyAlignment="1">
      <alignment horizontal="center" vertical="center" wrapText="1"/>
    </xf>
    <xf numFmtId="49" fontId="37" fillId="34" borderId="7" xfId="0" applyNumberFormat="1" applyFont="1" applyFill="1" applyBorder="1" applyAlignment="1">
      <alignment horizontal="left" vertical="center" wrapText="1"/>
    </xf>
    <xf numFmtId="49" fontId="37" fillId="34" borderId="14" xfId="0" applyNumberFormat="1" applyFont="1" applyFill="1" applyBorder="1" applyAlignment="1">
      <alignment horizontal="left" vertical="center" wrapText="1"/>
    </xf>
    <xf numFmtId="49" fontId="37" fillId="34" borderId="13" xfId="0" applyNumberFormat="1" applyFont="1" applyFill="1" applyBorder="1" applyAlignment="1">
      <alignment horizontal="left" vertical="center" wrapText="1"/>
    </xf>
    <xf numFmtId="3" fontId="38" fillId="0" borderId="2" xfId="0" applyNumberFormat="1" applyFont="1" applyFill="1" applyBorder="1" applyAlignment="1">
      <alignment horizontal="center" vertical="center" wrapText="1"/>
    </xf>
    <xf numFmtId="3" fontId="38" fillId="0" borderId="3" xfId="0" applyNumberFormat="1" applyFont="1" applyFill="1" applyBorder="1" applyAlignment="1">
      <alignment horizontal="center" vertical="center" wrapText="1"/>
    </xf>
    <xf numFmtId="169" fontId="37" fillId="0" borderId="10" xfId="0" applyNumberFormat="1" applyFont="1" applyFill="1" applyBorder="1" applyAlignment="1">
      <alignment horizontal="left" vertical="center" wrapText="1"/>
    </xf>
    <xf numFmtId="168" fontId="37" fillId="0" borderId="9" xfId="0" applyNumberFormat="1" applyFont="1" applyFill="1" applyBorder="1" applyAlignment="1">
      <alignment horizontal="left" vertical="center" wrapText="1"/>
    </xf>
    <xf numFmtId="169" fontId="37" fillId="34" borderId="10" xfId="0" applyNumberFormat="1" applyFont="1" applyFill="1" applyBorder="1" applyAlignment="1">
      <alignment horizontal="left" vertical="center" wrapText="1"/>
    </xf>
    <xf numFmtId="168" fontId="37" fillId="34" borderId="9" xfId="0" applyNumberFormat="1" applyFont="1" applyFill="1" applyBorder="1" applyAlignment="1">
      <alignment horizontal="left" vertical="center" wrapText="1"/>
    </xf>
    <xf numFmtId="49" fontId="43" fillId="0" borderId="3" xfId="0" applyNumberFormat="1" applyFont="1" applyFill="1" applyBorder="1" applyAlignment="1">
      <alignment horizontal="left" vertical="center" wrapText="1"/>
    </xf>
    <xf numFmtId="49" fontId="43" fillId="0" borderId="10" xfId="0" applyNumberFormat="1" applyFont="1" applyFill="1" applyBorder="1" applyAlignment="1">
      <alignment horizontal="left" vertical="center" wrapText="1"/>
    </xf>
    <xf numFmtId="169" fontId="43" fillId="0" borderId="10" xfId="0" applyNumberFormat="1" applyFont="1" applyFill="1" applyBorder="1" applyAlignment="1">
      <alignment horizontal="left" vertical="center" wrapText="1"/>
    </xf>
    <xf numFmtId="168" fontId="43" fillId="0" borderId="9" xfId="0" applyNumberFormat="1" applyFont="1" applyFill="1" applyBorder="1" applyAlignment="1">
      <alignment horizontal="left" vertical="center" wrapText="1"/>
    </xf>
    <xf numFmtId="49" fontId="5" fillId="34" borderId="3" xfId="0" applyNumberFormat="1" applyFont="1" applyFill="1" applyBorder="1" applyAlignment="1">
      <alignment horizontal="left" vertical="center" wrapText="1"/>
    </xf>
    <xf numFmtId="49" fontId="5" fillId="34" borderId="10" xfId="0" applyNumberFormat="1" applyFont="1" applyFill="1" applyBorder="1" applyAlignment="1">
      <alignment horizontal="left" vertical="center" wrapText="1"/>
    </xf>
    <xf numFmtId="49" fontId="5" fillId="34" borderId="9" xfId="0" applyNumberFormat="1" applyFont="1" applyFill="1" applyBorder="1" applyAlignment="1">
      <alignment horizontal="left" vertical="center" wrapText="1"/>
    </xf>
    <xf numFmtId="49" fontId="10" fillId="0" borderId="3" xfId="0" applyNumberFormat="1" applyFont="1" applyFill="1" applyBorder="1" applyAlignment="1">
      <alignment horizontal="left" vertical="center" wrapText="1"/>
    </xf>
    <xf numFmtId="49" fontId="38" fillId="0" borderId="10" xfId="0" applyNumberFormat="1" applyFont="1" applyFill="1" applyBorder="1" applyAlignment="1">
      <alignment horizontal="left" vertical="center" wrapText="1"/>
    </xf>
    <xf numFmtId="49" fontId="38" fillId="0" borderId="9"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49" fontId="5" fillId="0" borderId="10" xfId="0" applyNumberFormat="1" applyFont="1" applyFill="1" applyBorder="1" applyAlignment="1">
      <alignment horizontal="left" vertical="center" wrapText="1"/>
    </xf>
    <xf numFmtId="49" fontId="5" fillId="0" borderId="9" xfId="0" applyNumberFormat="1" applyFont="1" applyFill="1" applyBorder="1" applyAlignment="1">
      <alignment horizontal="left" vertical="center" wrapText="1"/>
    </xf>
    <xf numFmtId="49" fontId="44" fillId="34" borderId="3" xfId="0" applyNumberFormat="1" applyFont="1" applyFill="1" applyBorder="1" applyAlignment="1">
      <alignment horizontal="left" vertical="center" wrapText="1"/>
    </xf>
    <xf numFmtId="49" fontId="44" fillId="34" borderId="10" xfId="0" applyNumberFormat="1" applyFont="1" applyFill="1" applyBorder="1" applyAlignment="1">
      <alignment horizontal="left" vertical="center" wrapText="1"/>
    </xf>
    <xf numFmtId="49" fontId="44" fillId="34" borderId="9" xfId="0" applyNumberFormat="1" applyFont="1" applyFill="1" applyBorder="1" applyAlignment="1">
      <alignment horizontal="left" vertical="center" wrapText="1"/>
    </xf>
    <xf numFmtId="0" fontId="17" fillId="0" borderId="7" xfId="0" applyFont="1" applyBorder="1" applyAlignment="1">
      <alignment horizontal="center" vertical="center"/>
    </xf>
    <xf numFmtId="0" fontId="17" fillId="0" borderId="14" xfId="0" applyFont="1" applyBorder="1" applyAlignment="1">
      <alignment horizontal="center" vertical="center"/>
    </xf>
    <xf numFmtId="0" fontId="17" fillId="0" borderId="13" xfId="0" applyFont="1" applyBorder="1" applyAlignment="1">
      <alignment horizontal="center" vertical="center"/>
    </xf>
    <xf numFmtId="0" fontId="17" fillId="0" borderId="3" xfId="0" applyFont="1" applyBorder="1" applyAlignment="1">
      <alignment horizontal="center" vertical="center"/>
    </xf>
    <xf numFmtId="0" fontId="17" fillId="0" borderId="10" xfId="0" applyFont="1" applyBorder="1" applyAlignment="1">
      <alignment horizontal="center" vertical="center"/>
    </xf>
    <xf numFmtId="0" fontId="17" fillId="0" borderId="9" xfId="0" applyFont="1" applyBorder="1" applyAlignment="1">
      <alignment horizontal="center" vertical="center"/>
    </xf>
    <xf numFmtId="49" fontId="37" fillId="0" borderId="9" xfId="0" applyNumberFormat="1" applyFont="1" applyFill="1" applyBorder="1" applyAlignment="1">
      <alignment horizontal="center" vertical="center" wrapText="1"/>
    </xf>
    <xf numFmtId="3" fontId="38" fillId="34" borderId="3" xfId="0" applyNumberFormat="1" applyFont="1" applyFill="1" applyBorder="1" applyAlignment="1">
      <alignment horizontal="center" vertical="center" wrapText="1"/>
    </xf>
    <xf numFmtId="3" fontId="38" fillId="34" borderId="10" xfId="0" applyNumberFormat="1" applyFont="1" applyFill="1" applyBorder="1" applyAlignment="1">
      <alignment horizontal="center" vertical="center" wrapText="1"/>
    </xf>
    <xf numFmtId="49" fontId="37" fillId="0" borderId="7" xfId="0" applyNumberFormat="1" applyFont="1" applyFill="1" applyBorder="1" applyAlignment="1">
      <alignment horizontal="left" vertical="center" wrapText="1"/>
    </xf>
    <xf numFmtId="49" fontId="37" fillId="0" borderId="14" xfId="0" applyNumberFormat="1" applyFont="1" applyFill="1" applyBorder="1" applyAlignment="1">
      <alignment horizontal="left" vertical="center" wrapText="1"/>
    </xf>
    <xf numFmtId="49" fontId="37" fillId="0" borderId="13" xfId="0" applyNumberFormat="1" applyFont="1" applyFill="1" applyBorder="1" applyAlignment="1">
      <alignment horizontal="left" vertical="center" wrapText="1"/>
    </xf>
    <xf numFmtId="49" fontId="37" fillId="0" borderId="3" xfId="0" applyNumberFormat="1" applyFont="1" applyFill="1" applyBorder="1" applyAlignment="1">
      <alignment vertical="center" wrapText="1"/>
    </xf>
    <xf numFmtId="49" fontId="37" fillId="0" borderId="10" xfId="0" applyNumberFormat="1" applyFont="1" applyFill="1" applyBorder="1" applyAlignment="1">
      <alignment vertical="center" wrapText="1"/>
    </xf>
    <xf numFmtId="49" fontId="37" fillId="0" borderId="9" xfId="0" applyNumberFormat="1" applyFont="1" applyFill="1" applyBorder="1" applyAlignment="1">
      <alignment vertical="center" wrapText="1"/>
    </xf>
    <xf numFmtId="0" fontId="51" fillId="0" borderId="0" xfId="0" applyFont="1" applyFill="1" applyBorder="1" applyAlignment="1">
      <alignment horizontal="center" vertical="center"/>
    </xf>
    <xf numFmtId="0" fontId="51" fillId="0" borderId="0" xfId="41" applyFont="1" applyFill="1" applyBorder="1" applyAlignment="1">
      <alignment horizontal="center" vertical="center" wrapText="1"/>
    </xf>
    <xf numFmtId="0" fontId="52" fillId="0" borderId="2" xfId="0" applyFont="1" applyBorder="1" applyAlignment="1">
      <alignment horizontal="center" vertical="center" wrapText="1"/>
    </xf>
    <xf numFmtId="0" fontId="40" fillId="0" borderId="2" xfId="0" applyFont="1" applyBorder="1"/>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omma" xfId="27" builtinId="3"/>
    <cellStyle name="Comma 2" xfId="28"/>
    <cellStyle name="Check Cell" xfId="29" builtinId="23" customBuiltin="1"/>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te" xfId="42" builtinId="10" customBuiltin="1"/>
    <cellStyle name="Output" xfId="43" builtinId="21" customBuiltin="1"/>
    <cellStyle name="Percent" xfId="44" builtinId="5"/>
    <cellStyle name="Title 2" xfId="45"/>
    <cellStyle name="Total" xfId="46" builtinId="25" customBuiltin="1"/>
    <cellStyle name="Warning Text" xfId="47" builtinId="11"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446"/>
  <sheetViews>
    <sheetView tabSelected="1" view="pageBreakPreview" topLeftCell="A1022" zoomScale="60" zoomScaleNormal="70" workbookViewId="0">
      <selection activeCell="C1027" sqref="C1027"/>
    </sheetView>
  </sheetViews>
  <sheetFormatPr defaultRowHeight="18.75" x14ac:dyDescent="0.3"/>
  <cols>
    <col min="1" max="1" width="5.42578125" style="289" customWidth="1"/>
    <col min="2" max="2" width="5.7109375" style="289" customWidth="1"/>
    <col min="3" max="3" width="45.85546875" style="289" customWidth="1"/>
    <col min="4" max="4" width="9.140625" style="285"/>
    <col min="5" max="5" width="10.7109375" style="289" customWidth="1"/>
    <col min="6" max="6" width="12.5703125" style="215" customWidth="1"/>
    <col min="7" max="7" width="22.7109375" style="172" customWidth="1"/>
    <col min="8" max="8" width="10.5703125" style="289" customWidth="1"/>
    <col min="9" max="9" width="8.85546875" style="202" customWidth="1"/>
    <col min="10" max="10" width="25.85546875" style="289" customWidth="1"/>
    <col min="11" max="11" width="18.7109375" style="231" customWidth="1"/>
    <col min="12" max="12" width="17.140625" style="2" customWidth="1"/>
    <col min="13" max="13" width="37.140625" style="289" customWidth="1"/>
    <col min="14" max="16384" width="9.140625" style="289"/>
  </cols>
  <sheetData>
    <row r="1" spans="1:256" s="2" customFormat="1" x14ac:dyDescent="0.3">
      <c r="A1" s="1"/>
      <c r="B1" s="437" t="s">
        <v>0</v>
      </c>
      <c r="C1" s="437"/>
      <c r="D1" s="437"/>
      <c r="E1" s="437"/>
      <c r="F1" s="438"/>
      <c r="G1" s="439"/>
      <c r="H1" s="440"/>
      <c r="I1" s="441"/>
      <c r="J1" s="437"/>
      <c r="K1" s="257"/>
    </row>
    <row r="2" spans="1:256" s="2" customFormat="1" ht="76.5" customHeight="1" x14ac:dyDescent="0.3">
      <c r="A2" s="348"/>
      <c r="B2" s="442" t="s">
        <v>1048</v>
      </c>
      <c r="C2" s="442"/>
      <c r="D2" s="442"/>
      <c r="E2" s="442"/>
      <c r="F2" s="443"/>
      <c r="G2" s="444"/>
      <c r="H2" s="445"/>
      <c r="I2" s="446"/>
      <c r="J2" s="442"/>
      <c r="K2" s="257"/>
    </row>
    <row r="3" spans="1:256" x14ac:dyDescent="0.3">
      <c r="A3" s="447" t="s">
        <v>2</v>
      </c>
      <c r="B3" s="447" t="s">
        <v>3</v>
      </c>
      <c r="C3" s="449" t="s">
        <v>4</v>
      </c>
      <c r="D3" s="447" t="s">
        <v>5</v>
      </c>
      <c r="E3" s="447" t="s">
        <v>6</v>
      </c>
      <c r="F3" s="450" t="s">
        <v>7</v>
      </c>
      <c r="G3" s="451"/>
      <c r="H3" s="448"/>
      <c r="I3" s="452"/>
      <c r="J3" s="448"/>
      <c r="K3" s="426"/>
      <c r="L3" s="260"/>
      <c r="M3" s="427" t="s">
        <v>8</v>
      </c>
    </row>
    <row r="4" spans="1:256" ht="56.25" x14ac:dyDescent="0.3">
      <c r="A4" s="448"/>
      <c r="B4" s="447"/>
      <c r="C4" s="448"/>
      <c r="D4" s="448"/>
      <c r="E4" s="448"/>
      <c r="F4" s="347" t="s">
        <v>9</v>
      </c>
      <c r="G4" s="4" t="s">
        <v>10</v>
      </c>
      <c r="H4" s="5" t="s">
        <v>11</v>
      </c>
      <c r="I4" s="200" t="s">
        <v>12</v>
      </c>
      <c r="J4" s="219" t="s">
        <v>13</v>
      </c>
      <c r="K4" s="426"/>
      <c r="L4" s="260"/>
      <c r="M4" s="428"/>
    </row>
    <row r="5" spans="1:256" x14ac:dyDescent="0.3">
      <c r="A5" s="7" t="s">
        <v>14</v>
      </c>
      <c r="B5" s="8" t="s">
        <v>14</v>
      </c>
      <c r="C5" s="8" t="s">
        <v>15</v>
      </c>
      <c r="D5" s="269">
        <v>4</v>
      </c>
      <c r="E5" s="8" t="s">
        <v>16</v>
      </c>
      <c r="F5" s="258">
        <v>6</v>
      </c>
      <c r="G5" s="259" t="s">
        <v>18</v>
      </c>
      <c r="H5" s="12" t="s">
        <v>19</v>
      </c>
      <c r="I5" s="13" t="s">
        <v>20</v>
      </c>
      <c r="J5" s="220" t="s">
        <v>21</v>
      </c>
      <c r="K5" s="346"/>
      <c r="L5" s="14"/>
      <c r="M5" s="14"/>
    </row>
    <row r="6" spans="1:256" x14ac:dyDescent="0.3">
      <c r="A6" s="15"/>
      <c r="B6" s="15"/>
      <c r="C6" s="429" t="s">
        <v>22</v>
      </c>
      <c r="D6" s="430"/>
      <c r="E6" s="430"/>
      <c r="F6" s="431"/>
      <c r="G6" s="430"/>
      <c r="H6" s="430"/>
      <c r="I6" s="432"/>
      <c r="J6" s="220"/>
      <c r="K6" s="346"/>
      <c r="L6" s="14"/>
      <c r="M6" s="14"/>
    </row>
    <row r="7" spans="1:256" s="290" customFormat="1" ht="56.25" customHeight="1" x14ac:dyDescent="0.3">
      <c r="A7" s="110">
        <v>1</v>
      </c>
      <c r="B7" s="111" t="s">
        <v>1498</v>
      </c>
      <c r="C7" s="433" t="s">
        <v>1499</v>
      </c>
      <c r="D7" s="434"/>
      <c r="E7" s="434"/>
      <c r="F7" s="434"/>
      <c r="G7" s="434"/>
      <c r="H7" s="434"/>
      <c r="I7" s="435"/>
      <c r="J7" s="349">
        <f>SUM(J8:J53)</f>
        <v>7903217000</v>
      </c>
      <c r="K7" s="39">
        <f t="shared" ref="K7:K70" si="0">ROUND(F7*G7*H7*I7,-3)</f>
        <v>0</v>
      </c>
      <c r="L7" s="261">
        <f t="shared" ref="L7:L70" si="1">J7-K7</f>
        <v>7903217000</v>
      </c>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pans="1:256" s="290" customFormat="1" ht="69" customHeight="1" x14ac:dyDescent="0.3">
      <c r="A8" s="110"/>
      <c r="B8" s="111"/>
      <c r="C8" s="128" t="s">
        <v>1500</v>
      </c>
      <c r="D8" s="277" t="s">
        <v>112</v>
      </c>
      <c r="E8" s="182" t="s">
        <v>828</v>
      </c>
      <c r="F8" s="309">
        <v>422</v>
      </c>
      <c r="G8" s="180">
        <v>11100000</v>
      </c>
      <c r="H8" s="355">
        <v>1</v>
      </c>
      <c r="I8" s="418">
        <v>1.4</v>
      </c>
      <c r="J8" s="130">
        <f t="shared" ref="J8:J23" si="2">ROUND(F8*G8*H8*I8,-3)</f>
        <v>6557880000</v>
      </c>
      <c r="K8" s="39">
        <f t="shared" si="0"/>
        <v>6557880000</v>
      </c>
      <c r="L8" s="261">
        <f t="shared" si="1"/>
        <v>0</v>
      </c>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pans="1:256" s="290" customFormat="1" ht="56.25" x14ac:dyDescent="0.3">
      <c r="A9" s="69"/>
      <c r="B9" s="8"/>
      <c r="C9" s="82" t="s">
        <v>1501</v>
      </c>
      <c r="D9" s="419" t="s">
        <v>1502</v>
      </c>
      <c r="E9" s="71" t="s">
        <v>23</v>
      </c>
      <c r="F9" s="74">
        <f>7.4*10.6</f>
        <v>78.44</v>
      </c>
      <c r="G9" s="115">
        <v>2247000</v>
      </c>
      <c r="H9" s="355">
        <v>1</v>
      </c>
      <c r="I9" s="354">
        <v>1.1479999999999999</v>
      </c>
      <c r="J9" s="32">
        <f t="shared" si="2"/>
        <v>202340000</v>
      </c>
      <c r="K9" s="39">
        <f t="shared" si="0"/>
        <v>202340000</v>
      </c>
      <c r="L9" s="261">
        <f t="shared" si="1"/>
        <v>0</v>
      </c>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pans="1:256" s="290" customFormat="1" ht="38.25" x14ac:dyDescent="0.3">
      <c r="A10" s="69"/>
      <c r="B10" s="8"/>
      <c r="C10" s="82" t="s">
        <v>1503</v>
      </c>
      <c r="D10" s="270" t="s">
        <v>80</v>
      </c>
      <c r="E10" s="96" t="s">
        <v>91</v>
      </c>
      <c r="F10" s="74">
        <f>9*6.8</f>
        <v>61.199999999999996</v>
      </c>
      <c r="G10" s="29">
        <v>385000</v>
      </c>
      <c r="H10" s="355">
        <v>1</v>
      </c>
      <c r="I10" s="151">
        <v>1.1479999999999999</v>
      </c>
      <c r="J10" s="32">
        <f t="shared" si="2"/>
        <v>27049000</v>
      </c>
      <c r="K10" s="39">
        <f t="shared" si="0"/>
        <v>27049000</v>
      </c>
      <c r="L10" s="261">
        <f t="shared" si="1"/>
        <v>0</v>
      </c>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pans="1:256" s="290" customFormat="1" ht="37.5" x14ac:dyDescent="0.3">
      <c r="A11" s="69"/>
      <c r="B11" s="8"/>
      <c r="C11" s="82" t="s">
        <v>1504</v>
      </c>
      <c r="D11" s="270" t="s">
        <v>562</v>
      </c>
      <c r="E11" s="71" t="s">
        <v>23</v>
      </c>
      <c r="F11" s="74">
        <f>10.6*2.7</f>
        <v>28.62</v>
      </c>
      <c r="G11" s="29">
        <v>577000</v>
      </c>
      <c r="H11" s="355">
        <v>1</v>
      </c>
      <c r="I11" s="354">
        <v>1.1479999999999999</v>
      </c>
      <c r="J11" s="32">
        <f t="shared" si="2"/>
        <v>18958000</v>
      </c>
      <c r="K11" s="39">
        <f t="shared" si="0"/>
        <v>18958000</v>
      </c>
      <c r="L11" s="261">
        <f t="shared" si="1"/>
        <v>0</v>
      </c>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s="290" customFormat="1" ht="39" customHeight="1" x14ac:dyDescent="0.3">
      <c r="A12" s="69"/>
      <c r="B12" s="8"/>
      <c r="C12" s="82" t="s">
        <v>1505</v>
      </c>
      <c r="D12" s="270" t="s">
        <v>29</v>
      </c>
      <c r="E12" s="96" t="s">
        <v>91</v>
      </c>
      <c r="F12" s="74">
        <f>1.2*1.6+2*3.2</f>
        <v>8.32</v>
      </c>
      <c r="G12" s="29">
        <v>792000</v>
      </c>
      <c r="H12" s="355">
        <v>1</v>
      </c>
      <c r="I12" s="151">
        <v>1.1479999999999999</v>
      </c>
      <c r="J12" s="32">
        <f t="shared" si="2"/>
        <v>7565000</v>
      </c>
      <c r="K12" s="39">
        <f t="shared" si="0"/>
        <v>7565000</v>
      </c>
      <c r="L12" s="261">
        <f t="shared" si="1"/>
        <v>0</v>
      </c>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s="290" customFormat="1" ht="38.25" x14ac:dyDescent="0.3">
      <c r="A13" s="69"/>
      <c r="B13" s="8"/>
      <c r="C13" s="82" t="s">
        <v>1506</v>
      </c>
      <c r="D13" s="271" t="s">
        <v>32</v>
      </c>
      <c r="E13" s="71" t="s">
        <v>23</v>
      </c>
      <c r="F13" s="74">
        <f>1.6*10.6</f>
        <v>16.96</v>
      </c>
      <c r="G13" s="29">
        <v>215000</v>
      </c>
      <c r="H13" s="355">
        <v>1</v>
      </c>
      <c r="I13" s="151">
        <v>1.1479999999999999</v>
      </c>
      <c r="J13" s="32">
        <f t="shared" si="2"/>
        <v>4186000</v>
      </c>
      <c r="K13" s="39">
        <f t="shared" si="0"/>
        <v>4186000</v>
      </c>
      <c r="L13" s="261">
        <f t="shared" si="1"/>
        <v>0</v>
      </c>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s="290" customFormat="1" ht="37.5" x14ac:dyDescent="0.3">
      <c r="A14" s="69"/>
      <c r="B14" s="8"/>
      <c r="C14" s="82" t="s">
        <v>1507</v>
      </c>
      <c r="D14" s="272" t="s">
        <v>33</v>
      </c>
      <c r="E14" s="71" t="s">
        <v>23</v>
      </c>
      <c r="F14" s="74">
        <f>6.6*0.4+4.5*3.3+3.6*2.4</f>
        <v>26.13</v>
      </c>
      <c r="G14" s="29">
        <v>453000</v>
      </c>
      <c r="H14" s="355">
        <v>1</v>
      </c>
      <c r="I14" s="354">
        <v>1.1479999999999999</v>
      </c>
      <c r="J14" s="32">
        <f t="shared" si="2"/>
        <v>13589000</v>
      </c>
      <c r="K14" s="39">
        <f t="shared" si="0"/>
        <v>13589000</v>
      </c>
      <c r="L14" s="261">
        <f t="shared" si="1"/>
        <v>0</v>
      </c>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pans="1:256" s="290" customFormat="1" ht="38.25" x14ac:dyDescent="0.3">
      <c r="A15" s="69"/>
      <c r="B15" s="8"/>
      <c r="C15" s="82" t="s">
        <v>1508</v>
      </c>
      <c r="D15" s="267" t="s">
        <v>89</v>
      </c>
      <c r="E15" s="71" t="s">
        <v>23</v>
      </c>
      <c r="F15" s="74">
        <f>1.2*1.6</f>
        <v>1.92</v>
      </c>
      <c r="G15" s="29">
        <v>11000</v>
      </c>
      <c r="H15" s="355">
        <v>1</v>
      </c>
      <c r="I15" s="354">
        <v>1.1479999999999999</v>
      </c>
      <c r="J15" s="32">
        <f t="shared" si="2"/>
        <v>24000</v>
      </c>
      <c r="K15" s="39">
        <f t="shared" si="0"/>
        <v>24000</v>
      </c>
      <c r="L15" s="261">
        <f t="shared" si="1"/>
        <v>0</v>
      </c>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pans="1:256" s="290" customFormat="1" ht="38.25" x14ac:dyDescent="0.3">
      <c r="A16" s="69"/>
      <c r="B16" s="8"/>
      <c r="C16" s="82" t="s">
        <v>1509</v>
      </c>
      <c r="D16" s="271" t="s">
        <v>32</v>
      </c>
      <c r="E16" s="71" t="s">
        <v>23</v>
      </c>
      <c r="F16" s="74">
        <f>4.5*10.6</f>
        <v>47.699999999999996</v>
      </c>
      <c r="G16" s="29">
        <v>215000</v>
      </c>
      <c r="H16" s="355">
        <v>1</v>
      </c>
      <c r="I16" s="151">
        <v>1.1479999999999999</v>
      </c>
      <c r="J16" s="32">
        <f t="shared" si="2"/>
        <v>11773000</v>
      </c>
      <c r="K16" s="39">
        <f t="shared" si="0"/>
        <v>11773000</v>
      </c>
      <c r="L16" s="261">
        <f t="shared" si="1"/>
        <v>0</v>
      </c>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pans="1:256" s="290" customFormat="1" ht="37.5" x14ac:dyDescent="0.3">
      <c r="A17" s="69"/>
      <c r="B17" s="8"/>
      <c r="C17" s="82" t="s">
        <v>1510</v>
      </c>
      <c r="D17" s="270" t="s">
        <v>55</v>
      </c>
      <c r="E17" s="96" t="s">
        <v>91</v>
      </c>
      <c r="F17" s="74">
        <f>2.2*10.6+0.6*0.4</f>
        <v>23.56</v>
      </c>
      <c r="G17" s="29">
        <v>905000</v>
      </c>
      <c r="H17" s="355">
        <v>1</v>
      </c>
      <c r="I17" s="151">
        <v>1.1479999999999999</v>
      </c>
      <c r="J17" s="32">
        <f t="shared" si="2"/>
        <v>24477000</v>
      </c>
      <c r="K17" s="39">
        <f t="shared" si="0"/>
        <v>24477000</v>
      </c>
      <c r="L17" s="261">
        <f t="shared" si="1"/>
        <v>0</v>
      </c>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pans="1:256" s="290" customFormat="1" ht="39" customHeight="1" x14ac:dyDescent="0.3">
      <c r="A18" s="69"/>
      <c r="B18" s="8"/>
      <c r="C18" s="82" t="s">
        <v>1511</v>
      </c>
      <c r="D18" s="270" t="s">
        <v>52</v>
      </c>
      <c r="E18" s="71" t="s">
        <v>1477</v>
      </c>
      <c r="F18" s="74">
        <f>3.5*0.5</f>
        <v>1.75</v>
      </c>
      <c r="G18" s="11" t="s">
        <v>53</v>
      </c>
      <c r="H18" s="355">
        <v>1</v>
      </c>
      <c r="I18" s="354">
        <v>1.1479999999999999</v>
      </c>
      <c r="J18" s="32">
        <f t="shared" si="2"/>
        <v>474000</v>
      </c>
      <c r="K18" s="39">
        <f t="shared" si="0"/>
        <v>474000</v>
      </c>
      <c r="L18" s="261">
        <f t="shared" si="1"/>
        <v>0</v>
      </c>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pans="1:256" s="290" customFormat="1" ht="39" customHeight="1" x14ac:dyDescent="0.3">
      <c r="A19" s="69"/>
      <c r="B19" s="8"/>
      <c r="C19" s="82" t="s">
        <v>1512</v>
      </c>
      <c r="D19" s="271" t="s">
        <v>94</v>
      </c>
      <c r="E19" s="63" t="s">
        <v>35</v>
      </c>
      <c r="F19" s="98">
        <v>1</v>
      </c>
      <c r="G19" s="112">
        <v>1065100</v>
      </c>
      <c r="H19" s="355">
        <v>1</v>
      </c>
      <c r="I19" s="366">
        <v>1</v>
      </c>
      <c r="J19" s="367">
        <f t="shared" si="2"/>
        <v>1065000</v>
      </c>
      <c r="K19" s="39">
        <f t="shared" si="0"/>
        <v>1065000</v>
      </c>
      <c r="L19" s="261">
        <f t="shared" si="1"/>
        <v>0</v>
      </c>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pans="1:256" s="290" customFormat="1" ht="39" customHeight="1" x14ac:dyDescent="0.3">
      <c r="A20" s="69"/>
      <c r="B20" s="8"/>
      <c r="C20" s="82" t="s">
        <v>1513</v>
      </c>
      <c r="D20" s="269" t="s">
        <v>94</v>
      </c>
      <c r="E20" s="8" t="s">
        <v>35</v>
      </c>
      <c r="F20" s="90">
        <v>1</v>
      </c>
      <c r="G20" s="11">
        <v>532550</v>
      </c>
      <c r="H20" s="355">
        <v>1</v>
      </c>
      <c r="I20" s="166">
        <v>1</v>
      </c>
      <c r="J20" s="367">
        <f t="shared" si="2"/>
        <v>533000</v>
      </c>
      <c r="K20" s="39">
        <f t="shared" si="0"/>
        <v>533000</v>
      </c>
      <c r="L20" s="261">
        <f t="shared" si="1"/>
        <v>0</v>
      </c>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pans="1:256" s="290" customFormat="1" ht="39" customHeight="1" x14ac:dyDescent="0.3">
      <c r="A21" s="69"/>
      <c r="B21" s="8"/>
      <c r="C21" s="82" t="s">
        <v>1514</v>
      </c>
      <c r="D21" s="269" t="s">
        <v>94</v>
      </c>
      <c r="E21" s="8" t="s">
        <v>35</v>
      </c>
      <c r="F21" s="90">
        <v>1</v>
      </c>
      <c r="G21" s="11">
        <v>266280</v>
      </c>
      <c r="H21" s="355">
        <v>1</v>
      </c>
      <c r="I21" s="166">
        <v>1</v>
      </c>
      <c r="J21" s="367">
        <f t="shared" si="2"/>
        <v>266000</v>
      </c>
      <c r="K21" s="39">
        <f t="shared" si="0"/>
        <v>266000</v>
      </c>
      <c r="L21" s="261">
        <f t="shared" si="1"/>
        <v>0</v>
      </c>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pans="1:256" s="290" customFormat="1" ht="39" customHeight="1" x14ac:dyDescent="0.3">
      <c r="A22" s="69"/>
      <c r="B22" s="8"/>
      <c r="C22" s="82" t="s">
        <v>1515</v>
      </c>
      <c r="D22" s="270" t="s">
        <v>66</v>
      </c>
      <c r="E22" s="71" t="s">
        <v>23</v>
      </c>
      <c r="F22" s="74">
        <f>6.6*8.2</f>
        <v>54.11999999999999</v>
      </c>
      <c r="G22" s="29">
        <v>339000</v>
      </c>
      <c r="H22" s="355">
        <v>1</v>
      </c>
      <c r="I22" s="354">
        <v>1.1479999999999999</v>
      </c>
      <c r="J22" s="32">
        <f t="shared" si="2"/>
        <v>21062000</v>
      </c>
      <c r="K22" s="39">
        <f t="shared" si="0"/>
        <v>21062000</v>
      </c>
      <c r="L22" s="261">
        <f t="shared" si="1"/>
        <v>0</v>
      </c>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pans="1:256" s="290" customFormat="1" ht="39" customHeight="1" x14ac:dyDescent="0.3">
      <c r="A23" s="69"/>
      <c r="B23" s="8"/>
      <c r="C23" s="82" t="s">
        <v>1516</v>
      </c>
      <c r="D23" s="271" t="s">
        <v>54</v>
      </c>
      <c r="E23" s="63" t="s">
        <v>23</v>
      </c>
      <c r="F23" s="74">
        <f>2.4*1.4</f>
        <v>3.36</v>
      </c>
      <c r="G23" s="46">
        <v>213000</v>
      </c>
      <c r="H23" s="355">
        <v>1</v>
      </c>
      <c r="I23" s="354">
        <v>1.1479999999999999</v>
      </c>
      <c r="J23" s="378">
        <f t="shared" si="2"/>
        <v>822000</v>
      </c>
      <c r="K23" s="39">
        <f t="shared" si="0"/>
        <v>822000</v>
      </c>
      <c r="L23" s="261">
        <f t="shared" si="1"/>
        <v>0</v>
      </c>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pans="1:256" s="290" customFormat="1" x14ac:dyDescent="0.3">
      <c r="A24" s="110"/>
      <c r="B24" s="118" t="s">
        <v>1517</v>
      </c>
      <c r="C24" s="420" t="s">
        <v>1518</v>
      </c>
      <c r="D24" s="405"/>
      <c r="E24" s="118"/>
      <c r="F24" s="147"/>
      <c r="G24" s="406"/>
      <c r="H24" s="421"/>
      <c r="I24" s="422"/>
      <c r="J24" s="423"/>
      <c r="K24" s="39">
        <f t="shared" si="0"/>
        <v>0</v>
      </c>
      <c r="L24" s="261">
        <f t="shared" si="1"/>
        <v>0</v>
      </c>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pans="1:256" s="290" customFormat="1" ht="38.25" x14ac:dyDescent="0.3">
      <c r="A25" s="69"/>
      <c r="B25" s="8"/>
      <c r="C25" s="82" t="s">
        <v>1519</v>
      </c>
      <c r="D25" s="269" t="s">
        <v>88</v>
      </c>
      <c r="E25" s="8" t="s">
        <v>1520</v>
      </c>
      <c r="F25" s="74">
        <f>0.5*0.5*2.2*2</f>
        <v>1.1000000000000001</v>
      </c>
      <c r="G25" s="11">
        <v>2828000</v>
      </c>
      <c r="H25" s="355">
        <v>1</v>
      </c>
      <c r="I25" s="424">
        <v>1.1479999999999999</v>
      </c>
      <c r="J25" s="32">
        <f t="shared" ref="J25:J53" si="3">ROUND(F25*G25*H25*I25,-3)</f>
        <v>3571000</v>
      </c>
      <c r="K25" s="39">
        <f t="shared" si="0"/>
        <v>3571000</v>
      </c>
      <c r="L25" s="261">
        <f t="shared" si="1"/>
        <v>0</v>
      </c>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s="290" customFormat="1" ht="39.75" customHeight="1" x14ac:dyDescent="0.3">
      <c r="A26" s="69"/>
      <c r="B26" s="8"/>
      <c r="C26" s="82" t="s">
        <v>1521</v>
      </c>
      <c r="D26" s="270" t="s">
        <v>30</v>
      </c>
      <c r="E26" s="96" t="s">
        <v>91</v>
      </c>
      <c r="F26" s="74">
        <f>6.4*1.75</f>
        <v>11.200000000000001</v>
      </c>
      <c r="G26" s="11">
        <v>679000</v>
      </c>
      <c r="H26" s="355">
        <v>1</v>
      </c>
      <c r="I26" s="151">
        <v>1.1479999999999999</v>
      </c>
      <c r="J26" s="32">
        <f t="shared" si="3"/>
        <v>8730000</v>
      </c>
      <c r="K26" s="39">
        <f t="shared" si="0"/>
        <v>8730000</v>
      </c>
      <c r="L26" s="261">
        <f t="shared" si="1"/>
        <v>0</v>
      </c>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pans="1:256" s="290" customFormat="1" ht="38.25" x14ac:dyDescent="0.3">
      <c r="A27" s="69"/>
      <c r="B27" s="8"/>
      <c r="C27" s="82" t="s">
        <v>1522</v>
      </c>
      <c r="D27" s="267" t="s">
        <v>207</v>
      </c>
      <c r="E27" s="71" t="s">
        <v>23</v>
      </c>
      <c r="F27" s="74">
        <f>3.6*1.6</f>
        <v>5.7600000000000007</v>
      </c>
      <c r="G27" s="29">
        <v>566000</v>
      </c>
      <c r="H27" s="355">
        <v>1</v>
      </c>
      <c r="I27" s="354">
        <v>1.1479999999999999</v>
      </c>
      <c r="J27" s="32">
        <f t="shared" si="3"/>
        <v>3743000</v>
      </c>
      <c r="K27" s="39">
        <f t="shared" si="0"/>
        <v>3743000</v>
      </c>
      <c r="L27" s="261">
        <f t="shared" si="1"/>
        <v>0</v>
      </c>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pans="1:256" s="290" customFormat="1" ht="36" customHeight="1" x14ac:dyDescent="0.3">
      <c r="A28" s="69"/>
      <c r="B28" s="8"/>
      <c r="C28" s="82" t="s">
        <v>1523</v>
      </c>
      <c r="D28" s="270" t="s">
        <v>31</v>
      </c>
      <c r="E28" s="71" t="s">
        <v>23</v>
      </c>
      <c r="F28" s="74">
        <f>11.3*7.5</f>
        <v>84.75</v>
      </c>
      <c r="G28" s="29">
        <v>339000</v>
      </c>
      <c r="H28" s="355">
        <v>1</v>
      </c>
      <c r="I28" s="151">
        <v>1.1479999999999999</v>
      </c>
      <c r="J28" s="32">
        <f t="shared" si="3"/>
        <v>32982000</v>
      </c>
      <c r="K28" s="39">
        <f t="shared" si="0"/>
        <v>32982000</v>
      </c>
      <c r="L28" s="261">
        <f t="shared" si="1"/>
        <v>0</v>
      </c>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pans="1:256" s="290" customFormat="1" ht="39" customHeight="1" x14ac:dyDescent="0.3">
      <c r="A29" s="117"/>
      <c r="B29" s="118"/>
      <c r="C29" s="106" t="s">
        <v>1524</v>
      </c>
      <c r="D29" s="358" t="s">
        <v>38</v>
      </c>
      <c r="E29" s="359" t="s">
        <v>39</v>
      </c>
      <c r="F29" s="360">
        <v>1</v>
      </c>
      <c r="G29" s="361">
        <v>1358000</v>
      </c>
      <c r="H29" s="355">
        <v>1</v>
      </c>
      <c r="I29" s="363">
        <v>1.1479999999999999</v>
      </c>
      <c r="J29" s="364">
        <f t="shared" si="3"/>
        <v>1559000</v>
      </c>
      <c r="K29" s="39">
        <f t="shared" si="0"/>
        <v>1559000</v>
      </c>
      <c r="L29" s="261">
        <f t="shared" si="1"/>
        <v>0</v>
      </c>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pans="1:256" s="290" customFormat="1" ht="38.25" x14ac:dyDescent="0.3">
      <c r="A30" s="69"/>
      <c r="B30" s="8"/>
      <c r="C30" s="82" t="s">
        <v>1525</v>
      </c>
      <c r="D30" s="267" t="s">
        <v>24</v>
      </c>
      <c r="E30" s="8" t="s">
        <v>25</v>
      </c>
      <c r="F30" s="74">
        <f>2.1*1.3*0.22</f>
        <v>0.60060000000000013</v>
      </c>
      <c r="G30" s="29">
        <v>2828000</v>
      </c>
      <c r="H30" s="355">
        <v>1</v>
      </c>
      <c r="I30" s="151">
        <v>1.1479999999999999</v>
      </c>
      <c r="J30" s="32">
        <f t="shared" si="3"/>
        <v>1950000</v>
      </c>
      <c r="K30" s="39">
        <f t="shared" si="0"/>
        <v>1950000</v>
      </c>
      <c r="L30" s="261">
        <f t="shared" si="1"/>
        <v>0</v>
      </c>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pans="1:256" s="290" customFormat="1" ht="37.5" customHeight="1" x14ac:dyDescent="0.3">
      <c r="A31" s="69"/>
      <c r="B31" s="8"/>
      <c r="C31" s="82" t="s">
        <v>1526</v>
      </c>
      <c r="D31" s="270" t="s">
        <v>66</v>
      </c>
      <c r="E31" s="71" t="s">
        <v>23</v>
      </c>
      <c r="F31" s="74">
        <f>1.3*1.3+2*1.3</f>
        <v>4.29</v>
      </c>
      <c r="G31" s="29">
        <v>339000</v>
      </c>
      <c r="H31" s="355">
        <v>1</v>
      </c>
      <c r="I31" s="354">
        <v>1.1479999999999999</v>
      </c>
      <c r="J31" s="32">
        <f t="shared" si="3"/>
        <v>1670000</v>
      </c>
      <c r="K31" s="39">
        <f t="shared" si="0"/>
        <v>1670000</v>
      </c>
      <c r="L31" s="261">
        <f t="shared" si="1"/>
        <v>0</v>
      </c>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pans="1:256" s="290" customFormat="1" ht="37.5" customHeight="1" x14ac:dyDescent="0.3">
      <c r="A32" s="69"/>
      <c r="B32" s="8"/>
      <c r="C32" s="82" t="s">
        <v>1527</v>
      </c>
      <c r="D32" s="267" t="s">
        <v>24</v>
      </c>
      <c r="E32" s="8" t="s">
        <v>25</v>
      </c>
      <c r="F32" s="74">
        <f>0.1*0.1*1.75*2</f>
        <v>3.5000000000000003E-2</v>
      </c>
      <c r="G32" s="29">
        <v>2828000</v>
      </c>
      <c r="H32" s="355">
        <v>1</v>
      </c>
      <c r="I32" s="354">
        <v>1.1479999999999999</v>
      </c>
      <c r="J32" s="32">
        <f t="shared" si="3"/>
        <v>114000</v>
      </c>
      <c r="K32" s="39">
        <f t="shared" si="0"/>
        <v>114000</v>
      </c>
      <c r="L32" s="261">
        <f t="shared" si="1"/>
        <v>0</v>
      </c>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pans="1:256" s="290" customFormat="1" ht="37.5" customHeight="1" x14ac:dyDescent="0.3">
      <c r="A33" s="69"/>
      <c r="B33" s="8"/>
      <c r="C33" s="82" t="s">
        <v>1528</v>
      </c>
      <c r="D33" s="267" t="s">
        <v>24</v>
      </c>
      <c r="E33" s="8" t="s">
        <v>25</v>
      </c>
      <c r="F33" s="74">
        <f>1.25*1.4*0.1</f>
        <v>0.17500000000000002</v>
      </c>
      <c r="G33" s="29">
        <v>2828000</v>
      </c>
      <c r="H33" s="355">
        <v>1</v>
      </c>
      <c r="I33" s="151">
        <v>1.1479999999999999</v>
      </c>
      <c r="J33" s="32">
        <f t="shared" si="3"/>
        <v>568000</v>
      </c>
      <c r="K33" s="39">
        <f t="shared" si="0"/>
        <v>568000</v>
      </c>
      <c r="L33" s="261">
        <f t="shared" si="1"/>
        <v>0</v>
      </c>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pans="1:256" s="290" customFormat="1" ht="37.5" customHeight="1" x14ac:dyDescent="0.3">
      <c r="A34" s="69"/>
      <c r="B34" s="8"/>
      <c r="C34" s="82" t="s">
        <v>1529</v>
      </c>
      <c r="D34" s="271" t="s">
        <v>32</v>
      </c>
      <c r="E34" s="71" t="s">
        <v>23</v>
      </c>
      <c r="F34" s="74">
        <f>4.6*10.4</f>
        <v>47.839999999999996</v>
      </c>
      <c r="G34" s="29">
        <v>215000</v>
      </c>
      <c r="H34" s="355">
        <v>1</v>
      </c>
      <c r="I34" s="151">
        <v>1.1479999999999999</v>
      </c>
      <c r="J34" s="32">
        <f t="shared" si="3"/>
        <v>11808000</v>
      </c>
      <c r="K34" s="39">
        <f t="shared" si="0"/>
        <v>11808000</v>
      </c>
      <c r="L34" s="261">
        <f t="shared" si="1"/>
        <v>0</v>
      </c>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pans="1:256" s="290" customFormat="1" ht="32.25" customHeight="1" x14ac:dyDescent="0.3">
      <c r="A35" s="69"/>
      <c r="B35" s="8"/>
      <c r="C35" s="82" t="s">
        <v>1530</v>
      </c>
      <c r="D35" s="271" t="s">
        <v>94</v>
      </c>
      <c r="E35" s="63" t="s">
        <v>35</v>
      </c>
      <c r="F35" s="98">
        <v>1</v>
      </c>
      <c r="G35" s="112">
        <v>1065100</v>
      </c>
      <c r="H35" s="355">
        <v>1</v>
      </c>
      <c r="I35" s="366">
        <v>1</v>
      </c>
      <c r="J35" s="367">
        <f t="shared" si="3"/>
        <v>1065000</v>
      </c>
      <c r="K35" s="39">
        <f t="shared" si="0"/>
        <v>1065000</v>
      </c>
      <c r="L35" s="261">
        <f t="shared" si="1"/>
        <v>0</v>
      </c>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pans="1:256" s="290" customFormat="1" ht="56.25" x14ac:dyDescent="0.3">
      <c r="A36" s="67"/>
      <c r="B36" s="8" t="s">
        <v>1517</v>
      </c>
      <c r="C36" s="82" t="s">
        <v>1531</v>
      </c>
      <c r="D36" s="271" t="s">
        <v>1532</v>
      </c>
      <c r="E36" s="71" t="s">
        <v>23</v>
      </c>
      <c r="F36" s="74">
        <f>9.1*9.1</f>
        <v>82.809999999999988</v>
      </c>
      <c r="G36" s="11">
        <v>2749000</v>
      </c>
      <c r="H36" s="355">
        <v>1</v>
      </c>
      <c r="I36" s="354">
        <v>1.1479999999999999</v>
      </c>
      <c r="J36" s="32">
        <f t="shared" si="3"/>
        <v>261336000</v>
      </c>
      <c r="K36" s="39">
        <f t="shared" si="0"/>
        <v>261336000</v>
      </c>
      <c r="L36" s="261">
        <f t="shared" si="1"/>
        <v>0</v>
      </c>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pans="1:256" s="290" customFormat="1" ht="58.5" customHeight="1" x14ac:dyDescent="0.3">
      <c r="A37" s="69"/>
      <c r="B37" s="8"/>
      <c r="C37" s="82" t="s">
        <v>1533</v>
      </c>
      <c r="D37" s="270" t="s">
        <v>66</v>
      </c>
      <c r="E37" s="71" t="s">
        <v>23</v>
      </c>
      <c r="F37" s="74">
        <f>2.1*3.2+4*4.2+4.8*8.8+4*1.6+7*1.2+9.1*0.2</f>
        <v>82.38000000000001</v>
      </c>
      <c r="G37" s="29">
        <v>339000</v>
      </c>
      <c r="H37" s="355">
        <v>1</v>
      </c>
      <c r="I37" s="354">
        <v>1.1479999999999999</v>
      </c>
      <c r="J37" s="32">
        <f t="shared" si="3"/>
        <v>32060000</v>
      </c>
      <c r="K37" s="39">
        <f t="shared" si="0"/>
        <v>32060000</v>
      </c>
      <c r="L37" s="261">
        <f t="shared" si="1"/>
        <v>0</v>
      </c>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s="290" customFormat="1" ht="43.5" customHeight="1" x14ac:dyDescent="0.3">
      <c r="A38" s="69"/>
      <c r="B38" s="8"/>
      <c r="C38" s="82" t="s">
        <v>1534</v>
      </c>
      <c r="D38" s="270" t="s">
        <v>28</v>
      </c>
      <c r="E38" s="71" t="s">
        <v>23</v>
      </c>
      <c r="F38" s="74">
        <f>1*1.8+1.5*0.7+2*0.5</f>
        <v>3.8499999999999996</v>
      </c>
      <c r="G38" s="11">
        <v>396000</v>
      </c>
      <c r="H38" s="355">
        <v>1</v>
      </c>
      <c r="I38" s="151">
        <v>1.1479999999999999</v>
      </c>
      <c r="J38" s="32">
        <f t="shared" si="3"/>
        <v>1750000</v>
      </c>
      <c r="K38" s="39">
        <f t="shared" si="0"/>
        <v>1750000</v>
      </c>
      <c r="L38" s="261">
        <f t="shared" si="1"/>
        <v>0</v>
      </c>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pans="1:256" s="290" customFormat="1" ht="43.5" customHeight="1" x14ac:dyDescent="0.3">
      <c r="A39" s="69"/>
      <c r="B39" s="8"/>
      <c r="C39" s="82" t="s">
        <v>1535</v>
      </c>
      <c r="D39" s="270" t="s">
        <v>52</v>
      </c>
      <c r="E39" s="71" t="s">
        <v>1477</v>
      </c>
      <c r="F39" s="74">
        <f>4.8*8.8+4*4.2</f>
        <v>59.040000000000006</v>
      </c>
      <c r="G39" s="11" t="s">
        <v>53</v>
      </c>
      <c r="H39" s="355">
        <v>1</v>
      </c>
      <c r="I39" s="354">
        <v>1.1479999999999999</v>
      </c>
      <c r="J39" s="32">
        <f t="shared" si="3"/>
        <v>15996000</v>
      </c>
      <c r="K39" s="39">
        <f t="shared" si="0"/>
        <v>15996000</v>
      </c>
      <c r="L39" s="261">
        <f t="shared" si="1"/>
        <v>0</v>
      </c>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pans="1:256" s="290" customFormat="1" ht="43.5" customHeight="1" x14ac:dyDescent="0.3">
      <c r="A40" s="69"/>
      <c r="B40" s="8"/>
      <c r="C40" s="82" t="s">
        <v>1536</v>
      </c>
      <c r="D40" s="271" t="s">
        <v>32</v>
      </c>
      <c r="E40" s="71" t="s">
        <v>23</v>
      </c>
      <c r="F40" s="74">
        <f>4.5*9.1</f>
        <v>40.949999999999996</v>
      </c>
      <c r="G40" s="29">
        <v>215000</v>
      </c>
      <c r="H40" s="355">
        <v>1</v>
      </c>
      <c r="I40" s="151">
        <v>1.1479999999999999</v>
      </c>
      <c r="J40" s="32">
        <f t="shared" si="3"/>
        <v>10107000</v>
      </c>
      <c r="K40" s="39">
        <f t="shared" si="0"/>
        <v>10107000</v>
      </c>
      <c r="L40" s="261">
        <f t="shared" si="1"/>
        <v>0</v>
      </c>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pans="1:256" s="290" customFormat="1" ht="43.5" customHeight="1" x14ac:dyDescent="0.3">
      <c r="A41" s="69"/>
      <c r="B41" s="8"/>
      <c r="C41" s="82" t="s">
        <v>1537</v>
      </c>
      <c r="D41" s="270" t="s">
        <v>51</v>
      </c>
      <c r="E41" s="71" t="s">
        <v>23</v>
      </c>
      <c r="F41" s="74">
        <f>9.1*1.2</f>
        <v>10.92</v>
      </c>
      <c r="G41" s="29">
        <v>453000</v>
      </c>
      <c r="H41" s="355">
        <v>1</v>
      </c>
      <c r="I41" s="354">
        <v>1.1479999999999999</v>
      </c>
      <c r="J41" s="32">
        <f t="shared" si="3"/>
        <v>5679000</v>
      </c>
      <c r="K41" s="39">
        <f t="shared" si="0"/>
        <v>5679000</v>
      </c>
      <c r="L41" s="261">
        <f t="shared" si="1"/>
        <v>0</v>
      </c>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pans="1:256" s="290" customFormat="1" ht="25.5" x14ac:dyDescent="0.3">
      <c r="A42" s="69"/>
      <c r="B42" s="8"/>
      <c r="C42" s="82" t="s">
        <v>1410</v>
      </c>
      <c r="D42" s="271" t="s">
        <v>94</v>
      </c>
      <c r="E42" s="63" t="s">
        <v>35</v>
      </c>
      <c r="F42" s="98">
        <v>1</v>
      </c>
      <c r="G42" s="112">
        <v>1065100</v>
      </c>
      <c r="H42" s="355">
        <v>1</v>
      </c>
      <c r="I42" s="366">
        <v>1</v>
      </c>
      <c r="J42" s="367">
        <f t="shared" si="3"/>
        <v>1065000</v>
      </c>
      <c r="K42" s="39">
        <f t="shared" si="0"/>
        <v>1065000</v>
      </c>
      <c r="L42" s="261">
        <f t="shared" si="1"/>
        <v>0</v>
      </c>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pans="1:256" s="290" customFormat="1" ht="93.75" x14ac:dyDescent="0.3">
      <c r="A43" s="67"/>
      <c r="B43" s="8" t="s">
        <v>1517</v>
      </c>
      <c r="C43" s="82" t="s">
        <v>1538</v>
      </c>
      <c r="D43" s="269" t="s">
        <v>63</v>
      </c>
      <c r="E43" s="71" t="s">
        <v>23</v>
      </c>
      <c r="F43" s="74">
        <f>5*9.9</f>
        <v>49.5</v>
      </c>
      <c r="G43" s="11">
        <f>2975000-99000</f>
        <v>2876000</v>
      </c>
      <c r="H43" s="355">
        <v>1</v>
      </c>
      <c r="I43" s="354">
        <v>1.1479999999999999</v>
      </c>
      <c r="J43" s="32">
        <f t="shared" si="3"/>
        <v>163432000</v>
      </c>
      <c r="K43" s="39">
        <f t="shared" si="0"/>
        <v>163432000</v>
      </c>
      <c r="L43" s="261">
        <f t="shared" si="1"/>
        <v>0</v>
      </c>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pans="1:256" s="290" customFormat="1" ht="75" x14ac:dyDescent="0.3">
      <c r="A44" s="69"/>
      <c r="B44" s="8"/>
      <c r="C44" s="82" t="s">
        <v>1539</v>
      </c>
      <c r="D44" s="271" t="s">
        <v>1502</v>
      </c>
      <c r="E44" s="71" t="s">
        <v>23</v>
      </c>
      <c r="F44" s="74">
        <f>6.1*9.2</f>
        <v>56.11999999999999</v>
      </c>
      <c r="G44" s="11">
        <v>2247000</v>
      </c>
      <c r="H44" s="355">
        <v>1</v>
      </c>
      <c r="I44" s="354">
        <v>1.1479999999999999</v>
      </c>
      <c r="J44" s="32">
        <f t="shared" si="3"/>
        <v>144765000</v>
      </c>
      <c r="K44" s="39">
        <f t="shared" si="0"/>
        <v>144765000</v>
      </c>
      <c r="L44" s="261">
        <f t="shared" si="1"/>
        <v>0</v>
      </c>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pans="1:256" s="290" customFormat="1" ht="38.25" x14ac:dyDescent="0.3">
      <c r="A45" s="69"/>
      <c r="B45" s="8"/>
      <c r="C45" s="82" t="s">
        <v>1540</v>
      </c>
      <c r="D45" s="271" t="s">
        <v>32</v>
      </c>
      <c r="E45" s="71" t="s">
        <v>23</v>
      </c>
      <c r="F45" s="74">
        <f>9.8*4.7+4.7*11.1</f>
        <v>98.23</v>
      </c>
      <c r="G45" s="29">
        <v>215000</v>
      </c>
      <c r="H45" s="355">
        <v>1</v>
      </c>
      <c r="I45" s="151">
        <v>1.1479999999999999</v>
      </c>
      <c r="J45" s="32">
        <f t="shared" si="3"/>
        <v>24245000</v>
      </c>
      <c r="K45" s="39">
        <f t="shared" si="0"/>
        <v>24245000</v>
      </c>
      <c r="L45" s="261">
        <f t="shared" si="1"/>
        <v>0</v>
      </c>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row>
    <row r="46" spans="1:256" s="290" customFormat="1" ht="37.5" customHeight="1" x14ac:dyDescent="0.3">
      <c r="A46" s="69"/>
      <c r="B46" s="8"/>
      <c r="C46" s="82" t="s">
        <v>1541</v>
      </c>
      <c r="D46" s="270" t="s">
        <v>51</v>
      </c>
      <c r="E46" s="71" t="s">
        <v>23</v>
      </c>
      <c r="F46" s="74">
        <f>1.2*11.1</f>
        <v>13.319999999999999</v>
      </c>
      <c r="G46" s="29">
        <v>453000</v>
      </c>
      <c r="H46" s="355">
        <v>1</v>
      </c>
      <c r="I46" s="354">
        <v>1.1479999999999999</v>
      </c>
      <c r="J46" s="32">
        <f t="shared" si="3"/>
        <v>6927000</v>
      </c>
      <c r="K46" s="39">
        <f t="shared" si="0"/>
        <v>6927000</v>
      </c>
      <c r="L46" s="261">
        <f t="shared" si="1"/>
        <v>0</v>
      </c>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row>
    <row r="47" spans="1:256" s="290" customFormat="1" ht="75" x14ac:dyDescent="0.3">
      <c r="A47" s="69"/>
      <c r="B47" s="8"/>
      <c r="C47" s="82" t="s">
        <v>1542</v>
      </c>
      <c r="D47" s="271" t="s">
        <v>1502</v>
      </c>
      <c r="E47" s="71" t="s">
        <v>23</v>
      </c>
      <c r="F47" s="74">
        <f>3.3*9</f>
        <v>29.7</v>
      </c>
      <c r="G47" s="11">
        <f>2247000+99000</f>
        <v>2346000</v>
      </c>
      <c r="H47" s="355">
        <v>1</v>
      </c>
      <c r="I47" s="354">
        <v>1.1479999999999999</v>
      </c>
      <c r="J47" s="32">
        <f t="shared" si="3"/>
        <v>79988000</v>
      </c>
      <c r="K47" s="39">
        <f t="shared" si="0"/>
        <v>79988000</v>
      </c>
      <c r="L47" s="261">
        <f t="shared" si="1"/>
        <v>0</v>
      </c>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row>
    <row r="48" spans="1:256" s="290" customFormat="1" ht="38.25" customHeight="1" x14ac:dyDescent="0.3">
      <c r="A48" s="69"/>
      <c r="B48" s="8"/>
      <c r="C48" s="82" t="s">
        <v>1543</v>
      </c>
      <c r="D48" s="270" t="s">
        <v>66</v>
      </c>
      <c r="E48" s="71" t="s">
        <v>23</v>
      </c>
      <c r="F48" s="74">
        <f>14.7*1.5</f>
        <v>22.049999999999997</v>
      </c>
      <c r="G48" s="29">
        <v>339000</v>
      </c>
      <c r="H48" s="355">
        <v>1</v>
      </c>
      <c r="I48" s="354">
        <v>1.1479999999999999</v>
      </c>
      <c r="J48" s="32">
        <f t="shared" si="3"/>
        <v>8581000</v>
      </c>
      <c r="K48" s="39">
        <f t="shared" si="0"/>
        <v>8581000</v>
      </c>
      <c r="L48" s="261">
        <f t="shared" si="1"/>
        <v>0</v>
      </c>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row>
    <row r="49" spans="1:256" s="290" customFormat="1" ht="75" x14ac:dyDescent="0.3">
      <c r="A49" s="69"/>
      <c r="B49" s="8"/>
      <c r="C49" s="82" t="s">
        <v>1544</v>
      </c>
      <c r="D49" s="269" t="s">
        <v>1545</v>
      </c>
      <c r="E49" s="71" t="s">
        <v>23</v>
      </c>
      <c r="F49" s="74">
        <f>6.5*8.2</f>
        <v>53.3</v>
      </c>
      <c r="G49" s="11">
        <f>2749000+99000</f>
        <v>2848000</v>
      </c>
      <c r="H49" s="355">
        <v>1</v>
      </c>
      <c r="I49" s="354">
        <v>1.1479999999999999</v>
      </c>
      <c r="J49" s="32">
        <f t="shared" si="3"/>
        <v>174265000</v>
      </c>
      <c r="K49" s="39">
        <f t="shared" si="0"/>
        <v>174265000</v>
      </c>
      <c r="L49" s="261">
        <f t="shared" si="1"/>
        <v>0</v>
      </c>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row>
    <row r="50" spans="1:256" s="290" customFormat="1" ht="39" customHeight="1" x14ac:dyDescent="0.3">
      <c r="A50" s="69"/>
      <c r="B50" s="8"/>
      <c r="C50" s="82" t="s">
        <v>1546</v>
      </c>
      <c r="D50" s="270" t="s">
        <v>52</v>
      </c>
      <c r="E50" s="71" t="s">
        <v>1477</v>
      </c>
      <c r="F50" s="74">
        <f>6.6*6.2</f>
        <v>40.92</v>
      </c>
      <c r="G50" s="11" t="s">
        <v>53</v>
      </c>
      <c r="H50" s="355">
        <v>1</v>
      </c>
      <c r="I50" s="354">
        <v>1.1479999999999999</v>
      </c>
      <c r="J50" s="32">
        <f t="shared" si="3"/>
        <v>11086000</v>
      </c>
      <c r="K50" s="39">
        <f t="shared" si="0"/>
        <v>11086000</v>
      </c>
      <c r="L50" s="261">
        <f t="shared" si="1"/>
        <v>0</v>
      </c>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row>
    <row r="51" spans="1:256" s="290" customFormat="1" ht="34.5" customHeight="1" x14ac:dyDescent="0.3">
      <c r="A51" s="69"/>
      <c r="B51" s="8"/>
      <c r="C51" s="82" t="s">
        <v>1547</v>
      </c>
      <c r="D51" s="269" t="s">
        <v>94</v>
      </c>
      <c r="E51" s="8" t="s">
        <v>35</v>
      </c>
      <c r="F51" s="90">
        <v>3</v>
      </c>
      <c r="G51" s="11">
        <v>532550</v>
      </c>
      <c r="H51" s="355">
        <v>1</v>
      </c>
      <c r="I51" s="166">
        <v>1</v>
      </c>
      <c r="J51" s="367">
        <f t="shared" si="3"/>
        <v>1598000</v>
      </c>
      <c r="K51" s="39">
        <f t="shared" si="0"/>
        <v>1598000</v>
      </c>
      <c r="L51" s="261">
        <f t="shared" si="1"/>
        <v>0</v>
      </c>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row>
    <row r="52" spans="1:256" s="290" customFormat="1" ht="38.25" x14ac:dyDescent="0.3">
      <c r="A52" s="104"/>
      <c r="B52" s="105"/>
      <c r="C52" s="113" t="s">
        <v>1548</v>
      </c>
      <c r="D52" s="399" t="s">
        <v>44</v>
      </c>
      <c r="E52" s="126" t="s">
        <v>45</v>
      </c>
      <c r="F52" s="123">
        <v>8</v>
      </c>
      <c r="G52" s="177">
        <v>28000</v>
      </c>
      <c r="H52" s="355">
        <v>1</v>
      </c>
      <c r="I52" s="400">
        <v>1.1479999999999999</v>
      </c>
      <c r="J52" s="378">
        <f t="shared" si="3"/>
        <v>257000</v>
      </c>
      <c r="K52" s="39">
        <f t="shared" si="0"/>
        <v>257000</v>
      </c>
      <c r="L52" s="261">
        <f t="shared" si="1"/>
        <v>0</v>
      </c>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row>
    <row r="53" spans="1:256" s="290" customFormat="1" ht="38.25" x14ac:dyDescent="0.3">
      <c r="A53" s="69"/>
      <c r="B53" s="8"/>
      <c r="C53" s="113" t="s">
        <v>1549</v>
      </c>
      <c r="D53" s="271" t="s">
        <v>47</v>
      </c>
      <c r="E53" s="63" t="s">
        <v>45</v>
      </c>
      <c r="F53" s="157">
        <v>8</v>
      </c>
      <c r="G53" s="46">
        <v>28000</v>
      </c>
      <c r="H53" s="355">
        <v>1</v>
      </c>
      <c r="I53" s="354">
        <v>1.1479999999999999</v>
      </c>
      <c r="J53" s="378">
        <f t="shared" si="3"/>
        <v>257000</v>
      </c>
      <c r="K53" s="39">
        <f t="shared" si="0"/>
        <v>257000</v>
      </c>
      <c r="L53" s="261">
        <f t="shared" si="1"/>
        <v>0</v>
      </c>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row>
    <row r="54" spans="1:256" s="290" customFormat="1" ht="49.5" customHeight="1" x14ac:dyDescent="0.3">
      <c r="A54" s="211">
        <v>2</v>
      </c>
      <c r="B54" s="17" t="s">
        <v>1391</v>
      </c>
      <c r="C54" s="433" t="s">
        <v>1392</v>
      </c>
      <c r="D54" s="434"/>
      <c r="E54" s="434"/>
      <c r="F54" s="434"/>
      <c r="G54" s="434"/>
      <c r="H54" s="434"/>
      <c r="I54" s="435"/>
      <c r="J54" s="349">
        <f>SUM(J55:J88)</f>
        <v>2844639000</v>
      </c>
      <c r="K54" s="39">
        <f t="shared" si="0"/>
        <v>0</v>
      </c>
      <c r="L54" s="261">
        <f t="shared" si="1"/>
        <v>2844639000</v>
      </c>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c r="II54" s="14"/>
      <c r="IJ54" s="14"/>
      <c r="IK54" s="14"/>
      <c r="IL54" s="14"/>
      <c r="IM54" s="14"/>
      <c r="IN54" s="14"/>
      <c r="IO54" s="14"/>
      <c r="IP54" s="14"/>
      <c r="IQ54" s="14"/>
      <c r="IR54" s="14"/>
      <c r="IS54" s="14"/>
      <c r="IT54" s="14"/>
      <c r="IU54" s="14"/>
      <c r="IV54" s="14"/>
    </row>
    <row r="55" spans="1:256" s="290" customFormat="1" ht="59.25" customHeight="1" x14ac:dyDescent="0.3">
      <c r="A55" s="211"/>
      <c r="B55" s="17"/>
      <c r="C55" s="128" t="s">
        <v>1393</v>
      </c>
      <c r="D55" s="277" t="s">
        <v>112</v>
      </c>
      <c r="E55" s="182" t="s">
        <v>828</v>
      </c>
      <c r="F55" s="309">
        <v>156.6</v>
      </c>
      <c r="G55" s="350">
        <v>11100000</v>
      </c>
      <c r="H55" s="351">
        <v>1</v>
      </c>
      <c r="I55" s="352">
        <v>1.4</v>
      </c>
      <c r="J55" s="130">
        <f t="shared" ref="J55:J88" si="4">ROUND(F55*G55*H55*I55,-3)</f>
        <v>2433564000</v>
      </c>
      <c r="K55" s="39">
        <f t="shared" si="0"/>
        <v>2433564000</v>
      </c>
      <c r="L55" s="261">
        <f t="shared" si="1"/>
        <v>0</v>
      </c>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c r="IH55" s="14"/>
      <c r="II55" s="14"/>
      <c r="IJ55" s="14"/>
      <c r="IK55" s="14"/>
      <c r="IL55" s="14"/>
      <c r="IM55" s="14"/>
      <c r="IN55" s="14"/>
      <c r="IO55" s="14"/>
      <c r="IP55" s="14"/>
      <c r="IQ55" s="14"/>
      <c r="IR55" s="14"/>
      <c r="IS55" s="14"/>
      <c r="IT55" s="14"/>
      <c r="IU55" s="14"/>
      <c r="IV55" s="14"/>
    </row>
    <row r="56" spans="1:256" s="290" customFormat="1" ht="75" x14ac:dyDescent="0.3">
      <c r="A56" s="69"/>
      <c r="B56" s="8"/>
      <c r="C56" s="82" t="s">
        <v>1394</v>
      </c>
      <c r="D56" s="353" t="s">
        <v>1395</v>
      </c>
      <c r="E56" s="27" t="s">
        <v>23</v>
      </c>
      <c r="F56" s="74">
        <f>2.65*4.9</f>
        <v>12.985000000000001</v>
      </c>
      <c r="G56" s="11">
        <v>5046000</v>
      </c>
      <c r="H56" s="323">
        <v>1</v>
      </c>
      <c r="I56" s="354">
        <v>1.1479999999999999</v>
      </c>
      <c r="J56" s="32">
        <f t="shared" si="4"/>
        <v>75220000</v>
      </c>
      <c r="K56" s="39">
        <f t="shared" si="0"/>
        <v>75220000</v>
      </c>
      <c r="L56" s="261">
        <f t="shared" si="1"/>
        <v>0</v>
      </c>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c r="IE56" s="14"/>
      <c r="IF56" s="14"/>
      <c r="IG56" s="14"/>
      <c r="IH56" s="14"/>
      <c r="II56" s="14"/>
      <c r="IJ56" s="14"/>
      <c r="IK56" s="14"/>
      <c r="IL56" s="14"/>
      <c r="IM56" s="14"/>
      <c r="IN56" s="14"/>
      <c r="IO56" s="14"/>
      <c r="IP56" s="14"/>
      <c r="IQ56" s="14"/>
      <c r="IR56" s="14"/>
      <c r="IS56" s="14"/>
      <c r="IT56" s="14"/>
      <c r="IU56" s="14"/>
      <c r="IV56" s="14"/>
    </row>
    <row r="57" spans="1:256" s="290" customFormat="1" ht="42.75" customHeight="1" x14ac:dyDescent="0.3">
      <c r="A57" s="69"/>
      <c r="B57" s="8"/>
      <c r="C57" s="82" t="s">
        <v>1396</v>
      </c>
      <c r="D57" s="267" t="s">
        <v>24</v>
      </c>
      <c r="E57" s="8" t="s">
        <v>25</v>
      </c>
      <c r="F57" s="74">
        <f>(0.56*0.56*2)*2</f>
        <v>1.2544000000000002</v>
      </c>
      <c r="G57" s="29">
        <v>2828000</v>
      </c>
      <c r="H57" s="355">
        <v>1</v>
      </c>
      <c r="I57" s="354">
        <v>1.1479999999999999</v>
      </c>
      <c r="J57" s="32">
        <f t="shared" si="4"/>
        <v>4072000</v>
      </c>
      <c r="K57" s="39">
        <f t="shared" si="0"/>
        <v>4072000</v>
      </c>
      <c r="L57" s="261">
        <f t="shared" si="1"/>
        <v>0</v>
      </c>
      <c r="M57" s="356" t="s">
        <v>1397</v>
      </c>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row>
    <row r="58" spans="1:256" s="290" customFormat="1" ht="42.75" customHeight="1" x14ac:dyDescent="0.3">
      <c r="A58" s="69"/>
      <c r="B58" s="8"/>
      <c r="C58" s="82" t="s">
        <v>1398</v>
      </c>
      <c r="D58" s="271" t="s">
        <v>32</v>
      </c>
      <c r="E58" s="71" t="s">
        <v>23</v>
      </c>
      <c r="F58" s="74">
        <f>5.3*8.5</f>
        <v>45.05</v>
      </c>
      <c r="G58" s="29">
        <v>215000</v>
      </c>
      <c r="H58" s="357">
        <v>0.8</v>
      </c>
      <c r="I58" s="151">
        <v>1.1479999999999999</v>
      </c>
      <c r="J58" s="32">
        <f t="shared" si="4"/>
        <v>8895000</v>
      </c>
      <c r="K58" s="39">
        <f t="shared" si="0"/>
        <v>8895000</v>
      </c>
      <c r="L58" s="261">
        <f t="shared" si="1"/>
        <v>0</v>
      </c>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c r="II58" s="14"/>
      <c r="IJ58" s="14"/>
      <c r="IK58" s="14"/>
      <c r="IL58" s="14"/>
      <c r="IM58" s="14"/>
      <c r="IN58" s="14"/>
      <c r="IO58" s="14"/>
      <c r="IP58" s="14"/>
      <c r="IQ58" s="14"/>
      <c r="IR58" s="14"/>
      <c r="IS58" s="14"/>
      <c r="IT58" s="14"/>
      <c r="IU58" s="14"/>
      <c r="IV58" s="14"/>
    </row>
    <row r="59" spans="1:256" s="290" customFormat="1" ht="42.75" customHeight="1" x14ac:dyDescent="0.3">
      <c r="A59" s="69"/>
      <c r="B59" s="8"/>
      <c r="C59" s="82" t="s">
        <v>1399</v>
      </c>
      <c r="D59" s="270" t="s">
        <v>31</v>
      </c>
      <c r="E59" s="71" t="s">
        <v>23</v>
      </c>
      <c r="F59" s="74">
        <f>7*8.9+2.7*4.3</f>
        <v>73.91</v>
      </c>
      <c r="G59" s="29">
        <v>339000</v>
      </c>
      <c r="H59" s="357">
        <v>1</v>
      </c>
      <c r="I59" s="151">
        <v>1.1479999999999999</v>
      </c>
      <c r="J59" s="32">
        <f t="shared" si="4"/>
        <v>28764000</v>
      </c>
      <c r="K59" s="39">
        <f t="shared" si="0"/>
        <v>28764000</v>
      </c>
      <c r="L59" s="261">
        <f t="shared" si="1"/>
        <v>0</v>
      </c>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c r="ID59" s="14"/>
      <c r="IE59" s="14"/>
      <c r="IF59" s="14"/>
      <c r="IG59" s="14"/>
      <c r="IH59" s="14"/>
      <c r="II59" s="14"/>
      <c r="IJ59" s="14"/>
      <c r="IK59" s="14"/>
      <c r="IL59" s="14"/>
      <c r="IM59" s="14"/>
      <c r="IN59" s="14"/>
      <c r="IO59" s="14"/>
      <c r="IP59" s="14"/>
      <c r="IQ59" s="14"/>
      <c r="IR59" s="14"/>
      <c r="IS59" s="14"/>
      <c r="IT59" s="14"/>
      <c r="IU59" s="14"/>
      <c r="IV59" s="14"/>
    </row>
    <row r="60" spans="1:256" s="290" customFormat="1" ht="42.75" customHeight="1" x14ac:dyDescent="0.3">
      <c r="A60" s="69"/>
      <c r="B60" s="8"/>
      <c r="C60" s="82" t="s">
        <v>1400</v>
      </c>
      <c r="D60" s="270" t="s">
        <v>29</v>
      </c>
      <c r="E60" s="96" t="s">
        <v>91</v>
      </c>
      <c r="F60" s="74">
        <f>10.5*0.6+12.9*0.6</f>
        <v>14.04</v>
      </c>
      <c r="G60" s="29">
        <v>792000</v>
      </c>
      <c r="H60" s="323">
        <v>1</v>
      </c>
      <c r="I60" s="151">
        <v>1.1479999999999999</v>
      </c>
      <c r="J60" s="32">
        <f t="shared" si="4"/>
        <v>12765000</v>
      </c>
      <c r="K60" s="39">
        <f t="shared" si="0"/>
        <v>12765000</v>
      </c>
      <c r="L60" s="261">
        <f t="shared" si="1"/>
        <v>0</v>
      </c>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c r="ID60" s="14"/>
      <c r="IE60" s="14"/>
      <c r="IF60" s="14"/>
      <c r="IG60" s="14"/>
      <c r="IH60" s="14"/>
      <c r="II60" s="14"/>
      <c r="IJ60" s="14"/>
      <c r="IK60" s="14"/>
      <c r="IL60" s="14"/>
      <c r="IM60" s="14"/>
      <c r="IN60" s="14"/>
      <c r="IO60" s="14"/>
      <c r="IP60" s="14"/>
      <c r="IQ60" s="14"/>
      <c r="IR60" s="14"/>
      <c r="IS60" s="14"/>
      <c r="IT60" s="14"/>
      <c r="IU60" s="14"/>
      <c r="IV60" s="14"/>
    </row>
    <row r="61" spans="1:256" s="290" customFormat="1" ht="42.75" customHeight="1" x14ac:dyDescent="0.3">
      <c r="A61" s="69"/>
      <c r="B61" s="8"/>
      <c r="C61" s="82" t="s">
        <v>1401</v>
      </c>
      <c r="D61" s="267" t="s">
        <v>207</v>
      </c>
      <c r="E61" s="71" t="s">
        <v>23</v>
      </c>
      <c r="F61" s="74">
        <f>2.9*1.7</f>
        <v>4.93</v>
      </c>
      <c r="G61" s="29">
        <v>566000</v>
      </c>
      <c r="H61" s="355">
        <v>1</v>
      </c>
      <c r="I61" s="354">
        <v>1.1479999999999999</v>
      </c>
      <c r="J61" s="32">
        <f t="shared" si="4"/>
        <v>3203000</v>
      </c>
      <c r="K61" s="39">
        <f t="shared" si="0"/>
        <v>3203000</v>
      </c>
      <c r="L61" s="261">
        <f t="shared" si="1"/>
        <v>0</v>
      </c>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c r="IE61" s="14"/>
      <c r="IF61" s="14"/>
      <c r="IG61" s="14"/>
      <c r="IH61" s="14"/>
      <c r="II61" s="14"/>
      <c r="IJ61" s="14"/>
      <c r="IK61" s="14"/>
      <c r="IL61" s="14"/>
      <c r="IM61" s="14"/>
      <c r="IN61" s="14"/>
      <c r="IO61" s="14"/>
      <c r="IP61" s="14"/>
      <c r="IQ61" s="14"/>
      <c r="IR61" s="14"/>
      <c r="IS61" s="14"/>
      <c r="IT61" s="14"/>
      <c r="IU61" s="14"/>
      <c r="IV61" s="14"/>
    </row>
    <row r="62" spans="1:256" s="290" customFormat="1" ht="42.75" customHeight="1" x14ac:dyDescent="0.3">
      <c r="A62" s="69"/>
      <c r="B62" s="8"/>
      <c r="C62" s="82" t="s">
        <v>1402</v>
      </c>
      <c r="D62" s="272" t="s">
        <v>33</v>
      </c>
      <c r="E62" s="71" t="s">
        <v>23</v>
      </c>
      <c r="F62" s="74">
        <f>10.5*1.2+12.9*1.2</f>
        <v>28.08</v>
      </c>
      <c r="G62" s="29">
        <v>453000</v>
      </c>
      <c r="H62" s="355">
        <v>1</v>
      </c>
      <c r="I62" s="354">
        <v>1.1479999999999999</v>
      </c>
      <c r="J62" s="32">
        <f t="shared" si="4"/>
        <v>14603000</v>
      </c>
      <c r="K62" s="39">
        <f t="shared" si="0"/>
        <v>14603000</v>
      </c>
      <c r="L62" s="261">
        <f t="shared" si="1"/>
        <v>0</v>
      </c>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c r="FW62" s="14"/>
      <c r="FX62" s="14"/>
      <c r="FY62" s="14"/>
      <c r="FZ62" s="14"/>
      <c r="GA62" s="14"/>
      <c r="GB62" s="14"/>
      <c r="GC62" s="14"/>
      <c r="GD62" s="14"/>
      <c r="GE62" s="14"/>
      <c r="GF62" s="14"/>
      <c r="GG62" s="14"/>
      <c r="GH62" s="14"/>
      <c r="GI62" s="14"/>
      <c r="GJ62" s="14"/>
      <c r="GK62" s="14"/>
      <c r="GL62" s="14"/>
      <c r="GM62" s="14"/>
      <c r="GN62" s="14"/>
      <c r="GO62" s="14"/>
      <c r="GP62" s="14"/>
      <c r="GQ62" s="14"/>
      <c r="GR62" s="14"/>
      <c r="GS62" s="14"/>
      <c r="GT62" s="14"/>
      <c r="GU62" s="14"/>
      <c r="GV62" s="14"/>
      <c r="GW62" s="14"/>
      <c r="GX62" s="14"/>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c r="ID62" s="14"/>
      <c r="IE62" s="14"/>
      <c r="IF62" s="14"/>
      <c r="IG62" s="14"/>
      <c r="IH62" s="14"/>
      <c r="II62" s="14"/>
      <c r="IJ62" s="14"/>
      <c r="IK62" s="14"/>
      <c r="IL62" s="14"/>
      <c r="IM62" s="14"/>
      <c r="IN62" s="14"/>
      <c r="IO62" s="14"/>
      <c r="IP62" s="14"/>
      <c r="IQ62" s="14"/>
      <c r="IR62" s="14"/>
      <c r="IS62" s="14"/>
      <c r="IT62" s="14"/>
      <c r="IU62" s="14"/>
      <c r="IV62" s="14"/>
    </row>
    <row r="63" spans="1:256" s="290" customFormat="1" ht="42.75" customHeight="1" x14ac:dyDescent="0.3">
      <c r="A63" s="69"/>
      <c r="B63" s="8"/>
      <c r="C63" s="82" t="s">
        <v>1403</v>
      </c>
      <c r="D63" s="267" t="s">
        <v>24</v>
      </c>
      <c r="E63" s="8" t="s">
        <v>25</v>
      </c>
      <c r="F63" s="74">
        <f>(0.16*0.16*1.2)*7</f>
        <v>0.21504000000000001</v>
      </c>
      <c r="G63" s="29">
        <v>2828000</v>
      </c>
      <c r="H63" s="355">
        <v>1</v>
      </c>
      <c r="I63" s="354">
        <v>1.1479999999999999</v>
      </c>
      <c r="J63" s="32">
        <f t="shared" si="4"/>
        <v>698000</v>
      </c>
      <c r="K63" s="39">
        <f t="shared" si="0"/>
        <v>698000</v>
      </c>
      <c r="L63" s="261">
        <f t="shared" si="1"/>
        <v>0</v>
      </c>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c r="GG63" s="14"/>
      <c r="GH63" s="14"/>
      <c r="GI63" s="14"/>
      <c r="GJ63" s="14"/>
      <c r="GK63" s="14"/>
      <c r="GL63" s="14"/>
      <c r="GM63" s="14"/>
      <c r="GN63" s="14"/>
      <c r="GO63" s="14"/>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c r="HQ63" s="14"/>
      <c r="HR63" s="14"/>
      <c r="HS63" s="14"/>
      <c r="HT63" s="14"/>
      <c r="HU63" s="14"/>
      <c r="HV63" s="14"/>
      <c r="HW63" s="14"/>
      <c r="HX63" s="14"/>
      <c r="HY63" s="14"/>
      <c r="HZ63" s="14"/>
      <c r="IA63" s="14"/>
      <c r="IB63" s="14"/>
      <c r="IC63" s="14"/>
      <c r="ID63" s="14"/>
      <c r="IE63" s="14"/>
      <c r="IF63" s="14"/>
      <c r="IG63" s="14"/>
      <c r="IH63" s="14"/>
      <c r="II63" s="14"/>
      <c r="IJ63" s="14"/>
      <c r="IK63" s="14"/>
      <c r="IL63" s="14"/>
      <c r="IM63" s="14"/>
      <c r="IN63" s="14"/>
      <c r="IO63" s="14"/>
      <c r="IP63" s="14"/>
      <c r="IQ63" s="14"/>
      <c r="IR63" s="14"/>
      <c r="IS63" s="14"/>
      <c r="IT63" s="14"/>
      <c r="IU63" s="14"/>
      <c r="IV63" s="14"/>
    </row>
    <row r="64" spans="1:256" s="290" customFormat="1" ht="42.75" customHeight="1" x14ac:dyDescent="0.3">
      <c r="A64" s="117"/>
      <c r="B64" s="118"/>
      <c r="C64" s="106" t="s">
        <v>1404</v>
      </c>
      <c r="D64" s="358" t="s">
        <v>38</v>
      </c>
      <c r="E64" s="359" t="s">
        <v>39</v>
      </c>
      <c r="F64" s="360">
        <v>2</v>
      </c>
      <c r="G64" s="361">
        <v>1358000</v>
      </c>
      <c r="H64" s="362">
        <v>1</v>
      </c>
      <c r="I64" s="363">
        <v>1.1479999999999999</v>
      </c>
      <c r="J64" s="364">
        <f t="shared" si="4"/>
        <v>3118000</v>
      </c>
      <c r="K64" s="39">
        <f t="shared" si="0"/>
        <v>3118000</v>
      </c>
      <c r="L64" s="261">
        <f t="shared" si="1"/>
        <v>0</v>
      </c>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row>
    <row r="65" spans="1:256" s="290" customFormat="1" ht="42.75" customHeight="1" x14ac:dyDescent="0.3">
      <c r="A65" s="69"/>
      <c r="B65" s="8"/>
      <c r="C65" s="82" t="s">
        <v>1405</v>
      </c>
      <c r="D65" s="267" t="s">
        <v>24</v>
      </c>
      <c r="E65" s="8" t="s">
        <v>25</v>
      </c>
      <c r="F65" s="74">
        <f>0.6*4.9*0.25+0.6*3.25*0.25</f>
        <v>1.2224999999999999</v>
      </c>
      <c r="G65" s="29">
        <v>2828000</v>
      </c>
      <c r="H65" s="355">
        <v>1</v>
      </c>
      <c r="I65" s="151">
        <v>1.1479999999999999</v>
      </c>
      <c r="J65" s="32">
        <f t="shared" si="4"/>
        <v>3969000</v>
      </c>
      <c r="K65" s="39">
        <f t="shared" si="0"/>
        <v>3969000</v>
      </c>
      <c r="L65" s="261">
        <f t="shared" si="1"/>
        <v>0</v>
      </c>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c r="IO65" s="14"/>
      <c r="IP65" s="14"/>
      <c r="IQ65" s="14"/>
      <c r="IR65" s="14"/>
      <c r="IS65" s="14"/>
      <c r="IT65" s="14"/>
      <c r="IU65" s="14"/>
      <c r="IV65" s="14"/>
    </row>
    <row r="66" spans="1:256" s="290" customFormat="1" ht="42.75" customHeight="1" x14ac:dyDescent="0.3">
      <c r="A66" s="69"/>
      <c r="B66" s="8"/>
      <c r="C66" s="82" t="s">
        <v>1406</v>
      </c>
      <c r="D66" s="270" t="s">
        <v>51</v>
      </c>
      <c r="E66" s="71" t="s">
        <v>23</v>
      </c>
      <c r="F66" s="74">
        <f>3.9*4.4</f>
        <v>17.16</v>
      </c>
      <c r="G66" s="29">
        <v>453000</v>
      </c>
      <c r="H66" s="323">
        <v>1</v>
      </c>
      <c r="I66" s="354">
        <v>1.1479999999999999</v>
      </c>
      <c r="J66" s="32">
        <f t="shared" si="4"/>
        <v>8924000</v>
      </c>
      <c r="K66" s="39">
        <f t="shared" si="0"/>
        <v>8924000</v>
      </c>
      <c r="L66" s="261">
        <f t="shared" si="1"/>
        <v>0</v>
      </c>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14"/>
      <c r="FS66" s="14"/>
      <c r="FT66" s="14"/>
      <c r="FU66" s="14"/>
      <c r="FV66" s="14"/>
      <c r="FW66" s="14"/>
      <c r="FX66" s="14"/>
      <c r="FY66" s="14"/>
      <c r="FZ66" s="14"/>
      <c r="GA66" s="14"/>
      <c r="GB66" s="14"/>
      <c r="GC66" s="14"/>
      <c r="GD66" s="14"/>
      <c r="GE66" s="14"/>
      <c r="GF66" s="14"/>
      <c r="GG66" s="14"/>
      <c r="GH66" s="14"/>
      <c r="GI66" s="14"/>
      <c r="GJ66" s="14"/>
      <c r="GK66" s="14"/>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4"/>
      <c r="IF66" s="14"/>
      <c r="IG66" s="14"/>
      <c r="IH66" s="14"/>
      <c r="II66" s="14"/>
      <c r="IJ66" s="14"/>
      <c r="IK66" s="14"/>
      <c r="IL66" s="14"/>
      <c r="IM66" s="14"/>
      <c r="IN66" s="14"/>
      <c r="IO66" s="14"/>
      <c r="IP66" s="14"/>
      <c r="IQ66" s="14"/>
      <c r="IR66" s="14"/>
      <c r="IS66" s="14"/>
      <c r="IT66" s="14"/>
      <c r="IU66" s="14"/>
      <c r="IV66" s="14"/>
    </row>
    <row r="67" spans="1:256" s="290" customFormat="1" ht="42.75" customHeight="1" x14ac:dyDescent="0.3">
      <c r="A67" s="69"/>
      <c r="B67" s="8"/>
      <c r="C67" s="82" t="s">
        <v>1407</v>
      </c>
      <c r="D67" s="271" t="s">
        <v>1408</v>
      </c>
      <c r="E67" s="63" t="s">
        <v>1409</v>
      </c>
      <c r="F67" s="157">
        <v>1</v>
      </c>
      <c r="G67" s="148">
        <v>308880</v>
      </c>
      <c r="H67" s="365">
        <v>1</v>
      </c>
      <c r="I67" s="366">
        <v>1</v>
      </c>
      <c r="J67" s="367">
        <f t="shared" si="4"/>
        <v>309000</v>
      </c>
      <c r="K67" s="39">
        <f t="shared" si="0"/>
        <v>309000</v>
      </c>
      <c r="L67" s="261">
        <f t="shared" si="1"/>
        <v>0</v>
      </c>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row>
    <row r="68" spans="1:256" s="290" customFormat="1" ht="42.75" customHeight="1" x14ac:dyDescent="0.3">
      <c r="A68" s="69"/>
      <c r="B68" s="8"/>
      <c r="C68" s="82" t="s">
        <v>1410</v>
      </c>
      <c r="D68" s="271" t="s">
        <v>1411</v>
      </c>
      <c r="E68" s="63" t="s">
        <v>35</v>
      </c>
      <c r="F68" s="98">
        <v>1</v>
      </c>
      <c r="G68" s="112">
        <v>1065100</v>
      </c>
      <c r="H68" s="365">
        <v>1</v>
      </c>
      <c r="I68" s="366">
        <v>1</v>
      </c>
      <c r="J68" s="367">
        <f t="shared" si="4"/>
        <v>1065000</v>
      </c>
      <c r="K68" s="39">
        <f t="shared" si="0"/>
        <v>1065000</v>
      </c>
      <c r="L68" s="261">
        <f t="shared" si="1"/>
        <v>0</v>
      </c>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row>
    <row r="69" spans="1:256" s="290" customFormat="1" ht="42.75" customHeight="1" x14ac:dyDescent="0.3">
      <c r="A69" s="117"/>
      <c r="B69" s="118"/>
      <c r="C69" s="106" t="s">
        <v>1412</v>
      </c>
      <c r="D69" s="368" t="s">
        <v>1413</v>
      </c>
      <c r="E69" s="105" t="s">
        <v>1409</v>
      </c>
      <c r="F69" s="114">
        <v>4</v>
      </c>
      <c r="G69" s="115">
        <v>62840</v>
      </c>
      <c r="H69" s="369">
        <v>1</v>
      </c>
      <c r="I69" s="370">
        <v>1</v>
      </c>
      <c r="J69" s="371">
        <f t="shared" si="4"/>
        <v>251000</v>
      </c>
      <c r="K69" s="39">
        <f t="shared" si="0"/>
        <v>251000</v>
      </c>
      <c r="L69" s="261">
        <f t="shared" si="1"/>
        <v>0</v>
      </c>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row>
    <row r="70" spans="1:256" s="290" customFormat="1" ht="42.75" customHeight="1" x14ac:dyDescent="0.3">
      <c r="A70" s="69"/>
      <c r="B70" s="8"/>
      <c r="C70" s="82" t="s">
        <v>1414</v>
      </c>
      <c r="D70" s="270" t="s">
        <v>29</v>
      </c>
      <c r="E70" s="96" t="s">
        <v>91</v>
      </c>
      <c r="F70" s="74">
        <f>13*0.15</f>
        <v>1.95</v>
      </c>
      <c r="G70" s="29">
        <v>792000</v>
      </c>
      <c r="H70" s="323">
        <v>1</v>
      </c>
      <c r="I70" s="151">
        <v>1.1479999999999999</v>
      </c>
      <c r="J70" s="32">
        <f t="shared" si="4"/>
        <v>1773000</v>
      </c>
      <c r="K70" s="39">
        <f t="shared" si="0"/>
        <v>1773000</v>
      </c>
      <c r="L70" s="261">
        <f t="shared" si="1"/>
        <v>0</v>
      </c>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row>
    <row r="71" spans="1:256" s="290" customFormat="1" ht="42.75" customHeight="1" x14ac:dyDescent="0.3">
      <c r="A71" s="104"/>
      <c r="B71" s="105"/>
      <c r="C71" s="113" t="s">
        <v>1415</v>
      </c>
      <c r="D71" s="276" t="s">
        <v>1416</v>
      </c>
      <c r="E71" s="59" t="s">
        <v>42</v>
      </c>
      <c r="F71" s="116">
        <v>6</v>
      </c>
      <c r="G71" s="115">
        <v>53260</v>
      </c>
      <c r="H71" s="372">
        <v>1</v>
      </c>
      <c r="I71" s="373">
        <v>1</v>
      </c>
      <c r="J71" s="367">
        <f t="shared" si="4"/>
        <v>320000</v>
      </c>
      <c r="K71" s="39">
        <f t="shared" ref="K71:K133" si="5">ROUND(F71*G71*H71*I71,-3)</f>
        <v>320000</v>
      </c>
      <c r="L71" s="261">
        <f t="shared" ref="L71:L88" si="6">J71-K71</f>
        <v>0</v>
      </c>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row>
    <row r="72" spans="1:256" s="290" customFormat="1" ht="42.75" customHeight="1" x14ac:dyDescent="0.3">
      <c r="A72" s="69"/>
      <c r="B72" s="8"/>
      <c r="C72" s="113" t="s">
        <v>1417</v>
      </c>
      <c r="D72" s="272" t="s">
        <v>1416</v>
      </c>
      <c r="E72" s="27" t="s">
        <v>86</v>
      </c>
      <c r="F72" s="90">
        <v>32</v>
      </c>
      <c r="G72" s="11">
        <v>10650</v>
      </c>
      <c r="H72" s="355">
        <v>1</v>
      </c>
      <c r="I72" s="374">
        <v>1</v>
      </c>
      <c r="J72" s="32">
        <f t="shared" si="4"/>
        <v>341000</v>
      </c>
      <c r="K72" s="39">
        <f t="shared" si="5"/>
        <v>341000</v>
      </c>
      <c r="L72" s="261">
        <f t="shared" si="6"/>
        <v>0</v>
      </c>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row>
    <row r="73" spans="1:256" s="290" customFormat="1" ht="42.75" customHeight="1" x14ac:dyDescent="0.3">
      <c r="A73" s="69"/>
      <c r="B73" s="8"/>
      <c r="C73" s="113" t="s">
        <v>1418</v>
      </c>
      <c r="D73" s="271" t="s">
        <v>1419</v>
      </c>
      <c r="E73" s="63" t="s">
        <v>1409</v>
      </c>
      <c r="F73" s="157">
        <v>1</v>
      </c>
      <c r="G73" s="148">
        <v>7460</v>
      </c>
      <c r="H73" s="52">
        <v>1</v>
      </c>
      <c r="I73" s="366">
        <v>1</v>
      </c>
      <c r="J73" s="371">
        <f t="shared" si="4"/>
        <v>7000</v>
      </c>
      <c r="K73" s="39">
        <f t="shared" si="5"/>
        <v>7000</v>
      </c>
      <c r="L73" s="261">
        <f t="shared" si="6"/>
        <v>0</v>
      </c>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row>
    <row r="74" spans="1:256" s="290" customFormat="1" ht="42.75" customHeight="1" x14ac:dyDescent="0.3">
      <c r="A74" s="69"/>
      <c r="B74" s="8"/>
      <c r="C74" s="113" t="s">
        <v>1420</v>
      </c>
      <c r="D74" s="271" t="s">
        <v>1411</v>
      </c>
      <c r="E74" s="63" t="s">
        <v>1409</v>
      </c>
      <c r="F74" s="157">
        <v>1</v>
      </c>
      <c r="G74" s="148">
        <v>10650</v>
      </c>
      <c r="H74" s="52">
        <v>1</v>
      </c>
      <c r="I74" s="366">
        <v>1</v>
      </c>
      <c r="J74" s="371">
        <f t="shared" si="4"/>
        <v>11000</v>
      </c>
      <c r="K74" s="39">
        <f t="shared" si="5"/>
        <v>11000</v>
      </c>
      <c r="L74" s="261">
        <f t="shared" si="6"/>
        <v>0</v>
      </c>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row>
    <row r="75" spans="1:256" s="290" customFormat="1" ht="42.75" customHeight="1" x14ac:dyDescent="0.3">
      <c r="A75" s="69"/>
      <c r="B75" s="8"/>
      <c r="C75" s="113" t="s">
        <v>1421</v>
      </c>
      <c r="D75" s="271" t="s">
        <v>1411</v>
      </c>
      <c r="E75" s="63" t="s">
        <v>1409</v>
      </c>
      <c r="F75" s="157">
        <v>47</v>
      </c>
      <c r="G75" s="148">
        <v>3200</v>
      </c>
      <c r="H75" s="52">
        <v>1</v>
      </c>
      <c r="I75" s="366">
        <v>1</v>
      </c>
      <c r="J75" s="371">
        <f t="shared" si="4"/>
        <v>150000</v>
      </c>
      <c r="K75" s="39">
        <f t="shared" si="5"/>
        <v>150000</v>
      </c>
      <c r="L75" s="261">
        <f t="shared" si="6"/>
        <v>0</v>
      </c>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row>
    <row r="76" spans="1:256" s="290" customFormat="1" ht="42.75" customHeight="1" x14ac:dyDescent="0.3">
      <c r="A76" s="107"/>
      <c r="B76" s="84"/>
      <c r="C76" s="106" t="s">
        <v>1422</v>
      </c>
      <c r="D76" s="273" t="s">
        <v>44</v>
      </c>
      <c r="E76" s="375" t="s">
        <v>45</v>
      </c>
      <c r="F76" s="92">
        <v>10</v>
      </c>
      <c r="G76" s="65">
        <v>28000</v>
      </c>
      <c r="H76" s="376">
        <v>1</v>
      </c>
      <c r="I76" s="377">
        <v>1.1479999999999999</v>
      </c>
      <c r="J76" s="378">
        <f t="shared" si="4"/>
        <v>321000</v>
      </c>
      <c r="K76" s="39">
        <f t="shared" si="5"/>
        <v>321000</v>
      </c>
      <c r="L76" s="261">
        <f t="shared" si="6"/>
        <v>0</v>
      </c>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row>
    <row r="77" spans="1:256" s="290" customFormat="1" ht="62.25" customHeight="1" x14ac:dyDescent="0.3">
      <c r="A77" s="67"/>
      <c r="B77" s="68"/>
      <c r="C77" s="82" t="s">
        <v>1423</v>
      </c>
      <c r="D77" s="269" t="s">
        <v>1424</v>
      </c>
      <c r="E77" s="71" t="s">
        <v>23</v>
      </c>
      <c r="F77" s="74">
        <f>7.9*6.7</f>
        <v>52.930000000000007</v>
      </c>
      <c r="G77" s="11">
        <v>3371000</v>
      </c>
      <c r="H77" s="323">
        <v>1</v>
      </c>
      <c r="I77" s="354">
        <v>1.1479999999999999</v>
      </c>
      <c r="J77" s="32">
        <f t="shared" si="4"/>
        <v>204834000</v>
      </c>
      <c r="K77" s="39">
        <f t="shared" si="5"/>
        <v>204834000</v>
      </c>
      <c r="L77" s="261">
        <f t="shared" si="6"/>
        <v>0</v>
      </c>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row>
    <row r="78" spans="1:256" s="290" customFormat="1" ht="42.75" customHeight="1" x14ac:dyDescent="0.3">
      <c r="A78" s="69"/>
      <c r="B78" s="8"/>
      <c r="C78" s="82" t="s">
        <v>1425</v>
      </c>
      <c r="D78" s="270" t="s">
        <v>51</v>
      </c>
      <c r="E78" s="71" t="s">
        <v>23</v>
      </c>
      <c r="F78" s="74">
        <f>2.4*8</f>
        <v>19.2</v>
      </c>
      <c r="G78" s="29">
        <v>453000</v>
      </c>
      <c r="H78" s="323">
        <v>1</v>
      </c>
      <c r="I78" s="354">
        <v>1.1479999999999999</v>
      </c>
      <c r="J78" s="32">
        <f t="shared" si="4"/>
        <v>9985000</v>
      </c>
      <c r="K78" s="39">
        <f t="shared" si="5"/>
        <v>9985000</v>
      </c>
      <c r="L78" s="261">
        <f t="shared" si="6"/>
        <v>0</v>
      </c>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c r="HS78" s="14"/>
      <c r="HT78" s="14"/>
      <c r="HU78" s="14"/>
      <c r="HV78" s="14"/>
      <c r="HW78" s="14"/>
      <c r="HX78" s="14"/>
      <c r="HY78" s="14"/>
      <c r="HZ78" s="14"/>
      <c r="IA78" s="14"/>
      <c r="IB78" s="14"/>
      <c r="IC78" s="14"/>
      <c r="ID78" s="14"/>
      <c r="IE78" s="14"/>
      <c r="IF78" s="14"/>
      <c r="IG78" s="14"/>
      <c r="IH78" s="14"/>
      <c r="II78" s="14"/>
      <c r="IJ78" s="14"/>
      <c r="IK78" s="14"/>
      <c r="IL78" s="14"/>
      <c r="IM78" s="14"/>
      <c r="IN78" s="14"/>
      <c r="IO78" s="14"/>
      <c r="IP78" s="14"/>
      <c r="IQ78" s="14"/>
      <c r="IR78" s="14"/>
      <c r="IS78" s="14"/>
      <c r="IT78" s="14"/>
      <c r="IU78" s="14"/>
      <c r="IV78" s="14"/>
    </row>
    <row r="79" spans="1:256" s="290" customFormat="1" ht="42.75" customHeight="1" x14ac:dyDescent="0.3">
      <c r="A79" s="69"/>
      <c r="B79" s="8"/>
      <c r="C79" s="82" t="s">
        <v>1426</v>
      </c>
      <c r="D79" s="270" t="s">
        <v>66</v>
      </c>
      <c r="E79" s="71" t="s">
        <v>23</v>
      </c>
      <c r="F79" s="74">
        <f>(3.1*1)*2</f>
        <v>6.2</v>
      </c>
      <c r="G79" s="29">
        <v>339000</v>
      </c>
      <c r="H79" s="323">
        <v>1</v>
      </c>
      <c r="I79" s="354">
        <v>1.1479999999999999</v>
      </c>
      <c r="J79" s="32">
        <f t="shared" si="4"/>
        <v>2413000</v>
      </c>
      <c r="K79" s="39">
        <f t="shared" si="5"/>
        <v>2413000</v>
      </c>
      <c r="L79" s="261">
        <f t="shared" si="6"/>
        <v>0</v>
      </c>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c r="HS79" s="14"/>
      <c r="HT79" s="14"/>
      <c r="HU79" s="14"/>
      <c r="HV79" s="14"/>
      <c r="HW79" s="14"/>
      <c r="HX79" s="14"/>
      <c r="HY79" s="14"/>
      <c r="HZ79" s="14"/>
      <c r="IA79" s="14"/>
      <c r="IB79" s="14"/>
      <c r="IC79" s="14"/>
      <c r="ID79" s="14"/>
      <c r="IE79" s="14"/>
      <c r="IF79" s="14"/>
      <c r="IG79" s="14"/>
      <c r="IH79" s="14"/>
      <c r="II79" s="14"/>
      <c r="IJ79" s="14"/>
      <c r="IK79" s="14"/>
      <c r="IL79" s="14"/>
      <c r="IM79" s="14"/>
      <c r="IN79" s="14"/>
      <c r="IO79" s="14"/>
      <c r="IP79" s="14"/>
      <c r="IQ79" s="14"/>
      <c r="IR79" s="14"/>
      <c r="IS79" s="14"/>
      <c r="IT79" s="14"/>
      <c r="IU79" s="14"/>
      <c r="IV79" s="14"/>
    </row>
    <row r="80" spans="1:256" s="290" customFormat="1" ht="42.75" customHeight="1" x14ac:dyDescent="0.3">
      <c r="A80" s="69"/>
      <c r="B80" s="8"/>
      <c r="C80" s="82" t="s">
        <v>1427</v>
      </c>
      <c r="D80" s="270" t="s">
        <v>68</v>
      </c>
      <c r="E80" s="96" t="s">
        <v>91</v>
      </c>
      <c r="F80" s="74">
        <f>3.4*5.6</f>
        <v>19.04</v>
      </c>
      <c r="G80" s="46">
        <v>213000</v>
      </c>
      <c r="H80" s="323">
        <v>1</v>
      </c>
      <c r="I80" s="151">
        <v>1.1479999999999999</v>
      </c>
      <c r="J80" s="32">
        <f t="shared" si="4"/>
        <v>4656000</v>
      </c>
      <c r="K80" s="39">
        <f t="shared" si="5"/>
        <v>4656000</v>
      </c>
      <c r="L80" s="261">
        <f t="shared" si="6"/>
        <v>0</v>
      </c>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c r="HS80" s="14"/>
      <c r="HT80" s="14"/>
      <c r="HU80" s="14"/>
      <c r="HV80" s="14"/>
      <c r="HW80" s="14"/>
      <c r="HX80" s="14"/>
      <c r="HY80" s="14"/>
      <c r="HZ80" s="14"/>
      <c r="IA80" s="14"/>
      <c r="IB80" s="14"/>
      <c r="IC80" s="14"/>
      <c r="ID80" s="14"/>
      <c r="IE80" s="14"/>
      <c r="IF80" s="14"/>
      <c r="IG80" s="14"/>
      <c r="IH80" s="14"/>
      <c r="II80" s="14"/>
      <c r="IJ80" s="14"/>
      <c r="IK80" s="14"/>
      <c r="IL80" s="14"/>
      <c r="IM80" s="14"/>
      <c r="IN80" s="14"/>
      <c r="IO80" s="14"/>
      <c r="IP80" s="14"/>
      <c r="IQ80" s="14"/>
      <c r="IR80" s="14"/>
      <c r="IS80" s="14"/>
      <c r="IT80" s="14"/>
      <c r="IU80" s="14"/>
      <c r="IV80" s="14"/>
    </row>
    <row r="81" spans="1:256" s="290" customFormat="1" ht="42.75" customHeight="1" x14ac:dyDescent="0.3">
      <c r="A81" s="69"/>
      <c r="B81" s="8"/>
      <c r="C81" s="82" t="s">
        <v>1428</v>
      </c>
      <c r="D81" s="271" t="s">
        <v>32</v>
      </c>
      <c r="E81" s="71" t="s">
        <v>23</v>
      </c>
      <c r="F81" s="74">
        <f>4.9*11.5</f>
        <v>56.35</v>
      </c>
      <c r="G81" s="29">
        <v>215000</v>
      </c>
      <c r="H81" s="357">
        <v>0.8</v>
      </c>
      <c r="I81" s="151">
        <v>1.1479999999999999</v>
      </c>
      <c r="J81" s="32">
        <f t="shared" si="4"/>
        <v>11127000</v>
      </c>
      <c r="K81" s="39">
        <f t="shared" si="5"/>
        <v>11127000</v>
      </c>
      <c r="L81" s="261">
        <f t="shared" si="6"/>
        <v>0</v>
      </c>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row>
    <row r="82" spans="1:256" s="290" customFormat="1" ht="42.75" customHeight="1" x14ac:dyDescent="0.3">
      <c r="A82" s="69"/>
      <c r="B82" s="8"/>
      <c r="C82" s="82" t="s">
        <v>1429</v>
      </c>
      <c r="D82" s="271" t="s">
        <v>32</v>
      </c>
      <c r="E82" s="71" t="s">
        <v>23</v>
      </c>
      <c r="F82" s="74">
        <f>2.2*11</f>
        <v>24.200000000000003</v>
      </c>
      <c r="G82" s="29">
        <v>215000</v>
      </c>
      <c r="H82" s="357">
        <v>1</v>
      </c>
      <c r="I82" s="151">
        <v>1.1479999999999999</v>
      </c>
      <c r="J82" s="32">
        <f t="shared" si="4"/>
        <v>5973000</v>
      </c>
      <c r="K82" s="39">
        <f t="shared" si="5"/>
        <v>5973000</v>
      </c>
      <c r="L82" s="261">
        <f t="shared" si="6"/>
        <v>0</v>
      </c>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c r="HS82" s="14"/>
      <c r="HT82" s="14"/>
      <c r="HU82" s="14"/>
      <c r="HV82" s="14"/>
      <c r="HW82" s="14"/>
      <c r="HX82" s="14"/>
      <c r="HY82" s="14"/>
      <c r="HZ82" s="14"/>
      <c r="IA82" s="14"/>
      <c r="IB82" s="14"/>
      <c r="IC82" s="14"/>
      <c r="ID82" s="14"/>
      <c r="IE82" s="14"/>
      <c r="IF82" s="14"/>
      <c r="IG82" s="14"/>
      <c r="IH82" s="14"/>
      <c r="II82" s="14"/>
      <c r="IJ82" s="14"/>
      <c r="IK82" s="14"/>
      <c r="IL82" s="14"/>
      <c r="IM82" s="14"/>
      <c r="IN82" s="14"/>
      <c r="IO82" s="14"/>
      <c r="IP82" s="14"/>
      <c r="IQ82" s="14"/>
      <c r="IR82" s="14"/>
      <c r="IS82" s="14"/>
      <c r="IT82" s="14"/>
      <c r="IU82" s="14"/>
      <c r="IV82" s="14"/>
    </row>
    <row r="83" spans="1:256" s="290" customFormat="1" ht="42.75" customHeight="1" x14ac:dyDescent="0.3">
      <c r="A83" s="69"/>
      <c r="B83" s="8"/>
      <c r="C83" s="82" t="s">
        <v>1430</v>
      </c>
      <c r="D83" s="272" t="s">
        <v>33</v>
      </c>
      <c r="E83" s="71" t="s">
        <v>23</v>
      </c>
      <c r="F83" s="74">
        <f>2.5*1.2</f>
        <v>3</v>
      </c>
      <c r="G83" s="29">
        <v>453000</v>
      </c>
      <c r="H83" s="355">
        <v>1</v>
      </c>
      <c r="I83" s="354">
        <v>1.1479999999999999</v>
      </c>
      <c r="J83" s="32">
        <f t="shared" si="4"/>
        <v>1560000</v>
      </c>
      <c r="K83" s="39">
        <f t="shared" si="5"/>
        <v>1560000</v>
      </c>
      <c r="L83" s="261">
        <f t="shared" si="6"/>
        <v>0</v>
      </c>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c r="HS83" s="14"/>
      <c r="HT83" s="14"/>
      <c r="HU83" s="14"/>
      <c r="HV83" s="14"/>
      <c r="HW83" s="14"/>
      <c r="HX83" s="14"/>
      <c r="HY83" s="14"/>
      <c r="HZ83" s="14"/>
      <c r="IA83" s="14"/>
      <c r="IB83" s="14"/>
      <c r="IC83" s="14"/>
      <c r="ID83" s="14"/>
      <c r="IE83" s="14"/>
      <c r="IF83" s="14"/>
      <c r="IG83" s="14"/>
      <c r="IH83" s="14"/>
      <c r="II83" s="14"/>
      <c r="IJ83" s="14"/>
      <c r="IK83" s="14"/>
      <c r="IL83" s="14"/>
      <c r="IM83" s="14"/>
      <c r="IN83" s="14"/>
      <c r="IO83" s="14"/>
      <c r="IP83" s="14"/>
      <c r="IQ83" s="14"/>
      <c r="IR83" s="14"/>
      <c r="IS83" s="14"/>
      <c r="IT83" s="14"/>
      <c r="IU83" s="14"/>
      <c r="IV83" s="14"/>
    </row>
    <row r="84" spans="1:256" s="290" customFormat="1" ht="42.75" customHeight="1" x14ac:dyDescent="0.3">
      <c r="A84" s="69"/>
      <c r="B84" s="8"/>
      <c r="C84" s="82" t="s">
        <v>1431</v>
      </c>
      <c r="D84" s="267" t="s">
        <v>89</v>
      </c>
      <c r="E84" s="71" t="s">
        <v>23</v>
      </c>
      <c r="F84" s="74">
        <f>2.5*1.2</f>
        <v>3</v>
      </c>
      <c r="G84" s="29">
        <v>11000</v>
      </c>
      <c r="H84" s="323">
        <v>1</v>
      </c>
      <c r="I84" s="354">
        <v>1.1479999999999999</v>
      </c>
      <c r="J84" s="32">
        <f t="shared" si="4"/>
        <v>38000</v>
      </c>
      <c r="K84" s="39">
        <f t="shared" si="5"/>
        <v>38000</v>
      </c>
      <c r="L84" s="261">
        <f t="shared" si="6"/>
        <v>0</v>
      </c>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c r="IA84" s="14"/>
      <c r="IB84" s="14"/>
      <c r="IC84" s="14"/>
      <c r="ID84" s="14"/>
      <c r="IE84" s="14"/>
      <c r="IF84" s="14"/>
      <c r="IG84" s="14"/>
      <c r="IH84" s="14"/>
      <c r="II84" s="14"/>
      <c r="IJ84" s="14"/>
      <c r="IK84" s="14"/>
      <c r="IL84" s="14"/>
      <c r="IM84" s="14"/>
      <c r="IN84" s="14"/>
      <c r="IO84" s="14"/>
      <c r="IP84" s="14"/>
      <c r="IQ84" s="14"/>
      <c r="IR84" s="14"/>
      <c r="IS84" s="14"/>
      <c r="IT84" s="14"/>
      <c r="IU84" s="14"/>
      <c r="IV84" s="14"/>
    </row>
    <row r="85" spans="1:256" s="290" customFormat="1" ht="42.75" customHeight="1" x14ac:dyDescent="0.3">
      <c r="A85" s="69"/>
      <c r="B85" s="8"/>
      <c r="C85" s="82" t="s">
        <v>1432</v>
      </c>
      <c r="D85" s="270" t="s">
        <v>55</v>
      </c>
      <c r="E85" s="96" t="s">
        <v>91</v>
      </c>
      <c r="F85" s="74">
        <f>1*1.5</f>
        <v>1.5</v>
      </c>
      <c r="G85" s="29">
        <v>905000</v>
      </c>
      <c r="H85" s="323">
        <v>1</v>
      </c>
      <c r="I85" s="151">
        <v>1.1479999999999999</v>
      </c>
      <c r="J85" s="32">
        <f t="shared" si="4"/>
        <v>1558000</v>
      </c>
      <c r="K85" s="39">
        <f t="shared" si="5"/>
        <v>1558000</v>
      </c>
      <c r="L85" s="261">
        <f t="shared" si="6"/>
        <v>0</v>
      </c>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c r="HS85" s="14"/>
      <c r="HT85" s="14"/>
      <c r="HU85" s="14"/>
      <c r="HV85" s="14"/>
      <c r="HW85" s="14"/>
      <c r="HX85" s="14"/>
      <c r="HY85" s="14"/>
      <c r="HZ85" s="14"/>
      <c r="IA85" s="14"/>
      <c r="IB85" s="14"/>
      <c r="IC85" s="14"/>
      <c r="ID85" s="14"/>
      <c r="IE85" s="14"/>
      <c r="IF85" s="14"/>
      <c r="IG85" s="14"/>
      <c r="IH85" s="14"/>
      <c r="II85" s="14"/>
      <c r="IJ85" s="14"/>
      <c r="IK85" s="14"/>
      <c r="IL85" s="14"/>
      <c r="IM85" s="14"/>
      <c r="IN85" s="14"/>
      <c r="IO85" s="14"/>
      <c r="IP85" s="14"/>
      <c r="IQ85" s="14"/>
      <c r="IR85" s="14"/>
      <c r="IS85" s="14"/>
      <c r="IT85" s="14"/>
      <c r="IU85" s="14"/>
      <c r="IV85" s="14"/>
    </row>
    <row r="86" spans="1:256" s="290" customFormat="1" ht="42.75" customHeight="1" x14ac:dyDescent="0.3">
      <c r="A86" s="69"/>
      <c r="B86" s="8"/>
      <c r="C86" s="82" t="s">
        <v>1433</v>
      </c>
      <c r="D86" s="271" t="s">
        <v>1434</v>
      </c>
      <c r="E86" s="63" t="s">
        <v>1409</v>
      </c>
      <c r="F86" s="157">
        <v>1</v>
      </c>
      <c r="G86" s="148">
        <v>40910</v>
      </c>
      <c r="H86" s="365">
        <v>1</v>
      </c>
      <c r="I86" s="379">
        <v>1</v>
      </c>
      <c r="J86" s="367">
        <f t="shared" si="4"/>
        <v>41000</v>
      </c>
      <c r="K86" s="39">
        <f t="shared" si="5"/>
        <v>41000</v>
      </c>
      <c r="L86" s="261">
        <f t="shared" si="6"/>
        <v>0</v>
      </c>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c r="IG86" s="14"/>
      <c r="IH86" s="14"/>
      <c r="II86" s="14"/>
      <c r="IJ86" s="14"/>
      <c r="IK86" s="14"/>
      <c r="IL86" s="14"/>
      <c r="IM86" s="14"/>
      <c r="IN86" s="14"/>
      <c r="IO86" s="14"/>
      <c r="IP86" s="14"/>
      <c r="IQ86" s="14"/>
      <c r="IR86" s="14"/>
      <c r="IS86" s="14"/>
      <c r="IT86" s="14"/>
      <c r="IU86" s="14"/>
      <c r="IV86" s="14"/>
    </row>
    <row r="87" spans="1:256" s="290" customFormat="1" ht="42.75" customHeight="1" x14ac:dyDescent="0.3">
      <c r="A87" s="117"/>
      <c r="B87" s="118"/>
      <c r="C87" s="106" t="s">
        <v>1435</v>
      </c>
      <c r="D87" s="380" t="s">
        <v>1436</v>
      </c>
      <c r="E87" s="381" t="s">
        <v>35</v>
      </c>
      <c r="F87" s="147">
        <v>2</v>
      </c>
      <c r="G87" s="382">
        <v>26730</v>
      </c>
      <c r="H87" s="383">
        <v>1</v>
      </c>
      <c r="I87" s="384">
        <v>1</v>
      </c>
      <c r="J87" s="367">
        <f t="shared" si="4"/>
        <v>53000</v>
      </c>
      <c r="K87" s="39">
        <f t="shared" si="5"/>
        <v>53000</v>
      </c>
      <c r="L87" s="261">
        <f t="shared" si="6"/>
        <v>0</v>
      </c>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c r="HS87" s="14"/>
      <c r="HT87" s="14"/>
      <c r="HU87" s="14"/>
      <c r="HV87" s="14"/>
      <c r="HW87" s="14"/>
      <c r="HX87" s="14"/>
      <c r="HY87" s="14"/>
      <c r="HZ87" s="14"/>
      <c r="IA87" s="14"/>
      <c r="IB87" s="14"/>
      <c r="IC87" s="14"/>
      <c r="ID87" s="14"/>
      <c r="IE87" s="14"/>
      <c r="IF87" s="14"/>
      <c r="IG87" s="14"/>
      <c r="IH87" s="14"/>
      <c r="II87" s="14"/>
      <c r="IJ87" s="14"/>
      <c r="IK87" s="14"/>
      <c r="IL87" s="14"/>
      <c r="IM87" s="14"/>
      <c r="IN87" s="14"/>
      <c r="IO87" s="14"/>
      <c r="IP87" s="14"/>
      <c r="IQ87" s="14"/>
      <c r="IR87" s="14"/>
      <c r="IS87" s="14"/>
      <c r="IT87" s="14"/>
      <c r="IU87" s="14"/>
      <c r="IV87" s="14"/>
    </row>
    <row r="88" spans="1:256" s="290" customFormat="1" ht="42.75" customHeight="1" thickBot="1" x14ac:dyDescent="0.35">
      <c r="A88" s="385"/>
      <c r="B88" s="386"/>
      <c r="C88" s="387" t="s">
        <v>1437</v>
      </c>
      <c r="D88" s="388" t="s">
        <v>24</v>
      </c>
      <c r="E88" s="386" t="s">
        <v>25</v>
      </c>
      <c r="F88" s="389">
        <f>0.1*0.1*1.8</f>
        <v>1.8000000000000006E-2</v>
      </c>
      <c r="G88" s="390">
        <v>2828000</v>
      </c>
      <c r="H88" s="391">
        <v>1</v>
      </c>
      <c r="I88" s="392">
        <v>1.1479999999999999</v>
      </c>
      <c r="J88" s="32">
        <f t="shared" si="4"/>
        <v>58000</v>
      </c>
      <c r="K88" s="39">
        <f t="shared" si="5"/>
        <v>58000</v>
      </c>
      <c r="L88" s="261">
        <f t="shared" si="6"/>
        <v>0</v>
      </c>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c r="HS88" s="14"/>
      <c r="HT88" s="14"/>
      <c r="HU88" s="14"/>
      <c r="HV88" s="14"/>
      <c r="HW88" s="14"/>
      <c r="HX88" s="14"/>
      <c r="HY88" s="14"/>
      <c r="HZ88" s="14"/>
      <c r="IA88" s="14"/>
      <c r="IB88" s="14"/>
      <c r="IC88" s="14"/>
      <c r="ID88" s="14"/>
      <c r="IE88" s="14"/>
      <c r="IF88" s="14"/>
      <c r="IG88" s="14"/>
      <c r="IH88" s="14"/>
      <c r="II88" s="14"/>
      <c r="IJ88" s="14"/>
      <c r="IK88" s="14"/>
      <c r="IL88" s="14"/>
      <c r="IM88" s="14"/>
      <c r="IN88" s="14"/>
      <c r="IO88" s="14"/>
      <c r="IP88" s="14"/>
      <c r="IQ88" s="14"/>
      <c r="IR88" s="14"/>
      <c r="IS88" s="14"/>
      <c r="IT88" s="14"/>
      <c r="IU88" s="14"/>
      <c r="IV88" s="14"/>
    </row>
    <row r="89" spans="1:256" s="290" customFormat="1" ht="48" customHeight="1" thickTop="1" x14ac:dyDescent="0.3">
      <c r="A89" s="67">
        <v>3</v>
      </c>
      <c r="B89" s="68" t="s">
        <v>1438</v>
      </c>
      <c r="C89" s="436" t="s">
        <v>1439</v>
      </c>
      <c r="D89" s="436"/>
      <c r="E89" s="436"/>
      <c r="F89" s="436"/>
      <c r="G89" s="436"/>
      <c r="H89" s="436"/>
      <c r="I89" s="436"/>
      <c r="J89" s="349">
        <f>SUM(J90:J107)</f>
        <v>710313000</v>
      </c>
      <c r="K89" s="39">
        <f t="shared" si="5"/>
        <v>0</v>
      </c>
      <c r="L89" s="261">
        <f t="shared" ref="L89:L143" si="7">J89-K89</f>
        <v>710313000</v>
      </c>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c r="HS89" s="14"/>
      <c r="HT89" s="14"/>
      <c r="HU89" s="14"/>
      <c r="HV89" s="14"/>
      <c r="HW89" s="14"/>
      <c r="HX89" s="14"/>
      <c r="HY89" s="14"/>
      <c r="HZ89" s="14"/>
      <c r="IA89" s="14"/>
      <c r="IB89" s="14"/>
      <c r="IC89" s="14"/>
      <c r="ID89" s="14"/>
      <c r="IE89" s="14"/>
      <c r="IF89" s="14"/>
      <c r="IG89" s="14"/>
      <c r="IH89" s="14"/>
      <c r="II89" s="14"/>
      <c r="IJ89" s="14"/>
      <c r="IK89" s="14"/>
      <c r="IL89" s="14"/>
      <c r="IM89" s="14"/>
      <c r="IN89" s="14"/>
      <c r="IO89" s="14"/>
      <c r="IP89" s="14"/>
      <c r="IQ89" s="14"/>
      <c r="IR89" s="14"/>
      <c r="IS89" s="14"/>
      <c r="IT89" s="14"/>
      <c r="IU89" s="14"/>
      <c r="IV89" s="14"/>
    </row>
    <row r="90" spans="1:256" s="397" customFormat="1" ht="52.5" customHeight="1" x14ac:dyDescent="0.3">
      <c r="A90" s="393"/>
      <c r="B90" s="304"/>
      <c r="C90" s="128" t="s">
        <v>1440</v>
      </c>
      <c r="D90" s="277" t="s">
        <v>112</v>
      </c>
      <c r="E90" s="182" t="s">
        <v>828</v>
      </c>
      <c r="F90" s="309">
        <v>38.299999999999997</v>
      </c>
      <c r="G90" s="350">
        <v>11100000</v>
      </c>
      <c r="H90" s="351">
        <v>1</v>
      </c>
      <c r="I90" s="394">
        <v>1.4</v>
      </c>
      <c r="J90" s="130">
        <f>ROUND(F90*G90*H90*I90,-3)</f>
        <v>595182000</v>
      </c>
      <c r="K90" s="39">
        <f t="shared" si="5"/>
        <v>595182000</v>
      </c>
      <c r="L90" s="395">
        <f t="shared" si="7"/>
        <v>0</v>
      </c>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396"/>
      <c r="AL90" s="396"/>
      <c r="AM90" s="396"/>
      <c r="AN90" s="396"/>
      <c r="AO90" s="396"/>
      <c r="AP90" s="396"/>
      <c r="AQ90" s="396"/>
      <c r="AR90" s="396"/>
      <c r="AS90" s="396"/>
      <c r="AT90" s="396"/>
      <c r="AU90" s="396"/>
      <c r="AV90" s="396"/>
      <c r="AW90" s="396"/>
      <c r="AX90" s="396"/>
      <c r="AY90" s="396"/>
      <c r="AZ90" s="396"/>
      <c r="BA90" s="396"/>
      <c r="BB90" s="396"/>
      <c r="BC90" s="396"/>
      <c r="BD90" s="396"/>
      <c r="BE90" s="396"/>
      <c r="BF90" s="396"/>
      <c r="BG90" s="396"/>
      <c r="BH90" s="396"/>
      <c r="BI90" s="396"/>
      <c r="BJ90" s="396"/>
      <c r="BK90" s="396"/>
      <c r="BL90" s="396"/>
      <c r="BM90" s="396"/>
      <c r="BN90" s="396"/>
      <c r="BO90" s="396"/>
      <c r="BP90" s="396"/>
      <c r="BQ90" s="396"/>
      <c r="BR90" s="396"/>
      <c r="BS90" s="396"/>
      <c r="BT90" s="396"/>
      <c r="BU90" s="396"/>
      <c r="BV90" s="396"/>
      <c r="BW90" s="396"/>
      <c r="BX90" s="396"/>
      <c r="BY90" s="396"/>
      <c r="BZ90" s="396"/>
      <c r="CA90" s="396"/>
      <c r="CB90" s="396"/>
      <c r="CC90" s="396"/>
      <c r="CD90" s="396"/>
      <c r="CE90" s="396"/>
      <c r="CF90" s="396"/>
      <c r="CG90" s="396"/>
      <c r="CH90" s="396"/>
      <c r="CI90" s="396"/>
      <c r="CJ90" s="396"/>
      <c r="CK90" s="396"/>
      <c r="CL90" s="396"/>
      <c r="CM90" s="396"/>
      <c r="CN90" s="396"/>
      <c r="CO90" s="396"/>
      <c r="CP90" s="396"/>
      <c r="CQ90" s="396"/>
      <c r="CR90" s="396"/>
      <c r="CS90" s="396"/>
      <c r="CT90" s="396"/>
      <c r="CU90" s="396"/>
      <c r="CV90" s="396"/>
      <c r="CW90" s="396"/>
      <c r="CX90" s="396"/>
      <c r="CY90" s="396"/>
      <c r="CZ90" s="396"/>
      <c r="DA90" s="396"/>
      <c r="DB90" s="396"/>
      <c r="DC90" s="396"/>
      <c r="DD90" s="396"/>
      <c r="DE90" s="396"/>
      <c r="DF90" s="396"/>
      <c r="DG90" s="396"/>
      <c r="DH90" s="396"/>
      <c r="DI90" s="396"/>
      <c r="DJ90" s="396"/>
      <c r="DK90" s="396"/>
      <c r="DL90" s="396"/>
      <c r="DM90" s="396"/>
      <c r="DN90" s="396"/>
      <c r="DO90" s="396"/>
      <c r="DP90" s="396"/>
      <c r="DQ90" s="396"/>
      <c r="DR90" s="396"/>
      <c r="DS90" s="396"/>
      <c r="DT90" s="396"/>
      <c r="DU90" s="396"/>
      <c r="DV90" s="396"/>
      <c r="DW90" s="396"/>
      <c r="DX90" s="396"/>
      <c r="DY90" s="396"/>
      <c r="DZ90" s="396"/>
      <c r="EA90" s="396"/>
      <c r="EB90" s="396"/>
      <c r="EC90" s="396"/>
      <c r="ED90" s="396"/>
      <c r="EE90" s="396"/>
      <c r="EF90" s="396"/>
      <c r="EG90" s="396"/>
      <c r="EH90" s="396"/>
      <c r="EI90" s="396"/>
      <c r="EJ90" s="396"/>
      <c r="EK90" s="396"/>
      <c r="EL90" s="396"/>
      <c r="EM90" s="396"/>
      <c r="EN90" s="396"/>
      <c r="EO90" s="396"/>
      <c r="EP90" s="396"/>
      <c r="EQ90" s="396"/>
      <c r="ER90" s="396"/>
      <c r="ES90" s="396"/>
      <c r="ET90" s="396"/>
      <c r="EU90" s="396"/>
      <c r="EV90" s="396"/>
      <c r="EW90" s="396"/>
      <c r="EX90" s="396"/>
      <c r="EY90" s="396"/>
      <c r="EZ90" s="396"/>
      <c r="FA90" s="396"/>
      <c r="FB90" s="396"/>
      <c r="FC90" s="396"/>
      <c r="FD90" s="396"/>
      <c r="FE90" s="396"/>
      <c r="FF90" s="396"/>
      <c r="FG90" s="396"/>
      <c r="FH90" s="396"/>
      <c r="FI90" s="396"/>
      <c r="FJ90" s="396"/>
      <c r="FK90" s="396"/>
      <c r="FL90" s="396"/>
      <c r="FM90" s="396"/>
      <c r="FN90" s="396"/>
      <c r="FO90" s="396"/>
      <c r="FP90" s="396"/>
      <c r="FQ90" s="396"/>
      <c r="FR90" s="396"/>
      <c r="FS90" s="396"/>
      <c r="FT90" s="396"/>
      <c r="FU90" s="396"/>
      <c r="FV90" s="396"/>
      <c r="FW90" s="396"/>
      <c r="FX90" s="396"/>
      <c r="FY90" s="396"/>
      <c r="FZ90" s="396"/>
      <c r="GA90" s="396"/>
      <c r="GB90" s="396"/>
      <c r="GC90" s="396"/>
      <c r="GD90" s="396"/>
      <c r="GE90" s="396"/>
      <c r="GF90" s="396"/>
      <c r="GG90" s="396"/>
      <c r="GH90" s="396"/>
      <c r="GI90" s="396"/>
      <c r="GJ90" s="396"/>
      <c r="GK90" s="396"/>
      <c r="GL90" s="396"/>
      <c r="GM90" s="396"/>
      <c r="GN90" s="396"/>
      <c r="GO90" s="396"/>
      <c r="GP90" s="396"/>
      <c r="GQ90" s="396"/>
      <c r="GR90" s="396"/>
      <c r="GS90" s="396"/>
      <c r="GT90" s="396"/>
      <c r="GU90" s="396"/>
      <c r="GV90" s="396"/>
      <c r="GW90" s="396"/>
      <c r="GX90" s="396"/>
      <c r="GY90" s="396"/>
      <c r="GZ90" s="396"/>
      <c r="HA90" s="396"/>
      <c r="HB90" s="396"/>
      <c r="HC90" s="396"/>
      <c r="HD90" s="396"/>
      <c r="HE90" s="396"/>
      <c r="HF90" s="396"/>
      <c r="HG90" s="396"/>
      <c r="HH90" s="396"/>
      <c r="HI90" s="396"/>
      <c r="HJ90" s="396"/>
      <c r="HK90" s="396"/>
      <c r="HL90" s="396"/>
      <c r="HM90" s="396"/>
      <c r="HN90" s="396"/>
      <c r="HO90" s="396"/>
      <c r="HP90" s="396"/>
      <c r="HQ90" s="396"/>
      <c r="HR90" s="396"/>
      <c r="HS90" s="396"/>
      <c r="HT90" s="396"/>
      <c r="HU90" s="396"/>
      <c r="HV90" s="396"/>
      <c r="HW90" s="396"/>
      <c r="HX90" s="396"/>
      <c r="HY90" s="396"/>
      <c r="HZ90" s="396"/>
      <c r="IA90" s="396"/>
      <c r="IB90" s="396"/>
      <c r="IC90" s="396"/>
      <c r="ID90" s="396"/>
      <c r="IE90" s="396"/>
      <c r="IF90" s="396"/>
      <c r="IG90" s="396"/>
      <c r="IH90" s="396"/>
      <c r="II90" s="396"/>
      <c r="IJ90" s="396"/>
      <c r="IK90" s="396"/>
      <c r="IL90" s="396"/>
      <c r="IM90" s="396"/>
      <c r="IN90" s="396"/>
      <c r="IO90" s="396"/>
      <c r="IP90" s="396"/>
      <c r="IQ90" s="396"/>
      <c r="IR90" s="396"/>
      <c r="IS90" s="396"/>
      <c r="IT90" s="396"/>
      <c r="IU90" s="396"/>
      <c r="IV90" s="396"/>
    </row>
    <row r="91" spans="1:256" s="397" customFormat="1" ht="80.25" customHeight="1" x14ac:dyDescent="0.3">
      <c r="A91" s="393"/>
      <c r="B91" s="304"/>
      <c r="C91" s="128" t="s">
        <v>1062</v>
      </c>
      <c r="D91" s="277" t="s">
        <v>112</v>
      </c>
      <c r="E91" s="182" t="s">
        <v>828</v>
      </c>
      <c r="F91" s="309">
        <v>7.1</v>
      </c>
      <c r="G91" s="453" t="s">
        <v>1441</v>
      </c>
      <c r="H91" s="453"/>
      <c r="I91" s="453"/>
      <c r="J91" s="398"/>
      <c r="K91" s="39"/>
      <c r="L91" s="395">
        <f t="shared" si="7"/>
        <v>0</v>
      </c>
      <c r="M91" s="396"/>
      <c r="N91" s="396"/>
      <c r="O91" s="396"/>
      <c r="P91" s="396"/>
      <c r="Q91" s="396"/>
      <c r="R91" s="396"/>
      <c r="S91" s="396"/>
      <c r="T91" s="396"/>
      <c r="U91" s="396"/>
      <c r="V91" s="396"/>
      <c r="W91" s="396"/>
      <c r="X91" s="396"/>
      <c r="Y91" s="396"/>
      <c r="Z91" s="396"/>
      <c r="AA91" s="396"/>
      <c r="AB91" s="396"/>
      <c r="AC91" s="396"/>
      <c r="AD91" s="396"/>
      <c r="AE91" s="396"/>
      <c r="AF91" s="396"/>
      <c r="AG91" s="396"/>
      <c r="AH91" s="396"/>
      <c r="AI91" s="396"/>
      <c r="AJ91" s="396"/>
      <c r="AK91" s="396"/>
      <c r="AL91" s="396"/>
      <c r="AM91" s="396"/>
      <c r="AN91" s="396"/>
      <c r="AO91" s="396"/>
      <c r="AP91" s="396"/>
      <c r="AQ91" s="396"/>
      <c r="AR91" s="396"/>
      <c r="AS91" s="396"/>
      <c r="AT91" s="396"/>
      <c r="AU91" s="396"/>
      <c r="AV91" s="396"/>
      <c r="AW91" s="396"/>
      <c r="AX91" s="396"/>
      <c r="AY91" s="396"/>
      <c r="AZ91" s="396"/>
      <c r="BA91" s="396"/>
      <c r="BB91" s="396"/>
      <c r="BC91" s="396"/>
      <c r="BD91" s="396"/>
      <c r="BE91" s="396"/>
      <c r="BF91" s="396"/>
      <c r="BG91" s="396"/>
      <c r="BH91" s="396"/>
      <c r="BI91" s="396"/>
      <c r="BJ91" s="396"/>
      <c r="BK91" s="396"/>
      <c r="BL91" s="396"/>
      <c r="BM91" s="396"/>
      <c r="BN91" s="396"/>
      <c r="BO91" s="396"/>
      <c r="BP91" s="396"/>
      <c r="BQ91" s="396"/>
      <c r="BR91" s="396"/>
      <c r="BS91" s="396"/>
      <c r="BT91" s="396"/>
      <c r="BU91" s="396"/>
      <c r="BV91" s="396"/>
      <c r="BW91" s="396"/>
      <c r="BX91" s="396"/>
      <c r="BY91" s="396"/>
      <c r="BZ91" s="396"/>
      <c r="CA91" s="396"/>
      <c r="CB91" s="396"/>
      <c r="CC91" s="396"/>
      <c r="CD91" s="396"/>
      <c r="CE91" s="396"/>
      <c r="CF91" s="396"/>
      <c r="CG91" s="396"/>
      <c r="CH91" s="396"/>
      <c r="CI91" s="396"/>
      <c r="CJ91" s="396"/>
      <c r="CK91" s="396"/>
      <c r="CL91" s="396"/>
      <c r="CM91" s="396"/>
      <c r="CN91" s="396"/>
      <c r="CO91" s="396"/>
      <c r="CP91" s="396"/>
      <c r="CQ91" s="396"/>
      <c r="CR91" s="396"/>
      <c r="CS91" s="396"/>
      <c r="CT91" s="396"/>
      <c r="CU91" s="396"/>
      <c r="CV91" s="396"/>
      <c r="CW91" s="396"/>
      <c r="CX91" s="396"/>
      <c r="CY91" s="396"/>
      <c r="CZ91" s="396"/>
      <c r="DA91" s="396"/>
      <c r="DB91" s="396"/>
      <c r="DC91" s="396"/>
      <c r="DD91" s="396"/>
      <c r="DE91" s="396"/>
      <c r="DF91" s="396"/>
      <c r="DG91" s="396"/>
      <c r="DH91" s="396"/>
      <c r="DI91" s="396"/>
      <c r="DJ91" s="396"/>
      <c r="DK91" s="396"/>
      <c r="DL91" s="396"/>
      <c r="DM91" s="396"/>
      <c r="DN91" s="396"/>
      <c r="DO91" s="396"/>
      <c r="DP91" s="396"/>
      <c r="DQ91" s="396"/>
      <c r="DR91" s="396"/>
      <c r="DS91" s="396"/>
      <c r="DT91" s="396"/>
      <c r="DU91" s="396"/>
      <c r="DV91" s="396"/>
      <c r="DW91" s="396"/>
      <c r="DX91" s="396"/>
      <c r="DY91" s="396"/>
      <c r="DZ91" s="396"/>
      <c r="EA91" s="396"/>
      <c r="EB91" s="396"/>
      <c r="EC91" s="396"/>
      <c r="ED91" s="396"/>
      <c r="EE91" s="396"/>
      <c r="EF91" s="396"/>
      <c r="EG91" s="396"/>
      <c r="EH91" s="396"/>
      <c r="EI91" s="396"/>
      <c r="EJ91" s="396"/>
      <c r="EK91" s="396"/>
      <c r="EL91" s="396"/>
      <c r="EM91" s="396"/>
      <c r="EN91" s="396"/>
      <c r="EO91" s="396"/>
      <c r="EP91" s="396"/>
      <c r="EQ91" s="396"/>
      <c r="ER91" s="396"/>
      <c r="ES91" s="396"/>
      <c r="ET91" s="396"/>
      <c r="EU91" s="396"/>
      <c r="EV91" s="396"/>
      <c r="EW91" s="396"/>
      <c r="EX91" s="396"/>
      <c r="EY91" s="396"/>
      <c r="EZ91" s="396"/>
      <c r="FA91" s="396"/>
      <c r="FB91" s="396"/>
      <c r="FC91" s="396"/>
      <c r="FD91" s="396"/>
      <c r="FE91" s="396"/>
      <c r="FF91" s="396"/>
      <c r="FG91" s="396"/>
      <c r="FH91" s="396"/>
      <c r="FI91" s="396"/>
      <c r="FJ91" s="396"/>
      <c r="FK91" s="396"/>
      <c r="FL91" s="396"/>
      <c r="FM91" s="396"/>
      <c r="FN91" s="396"/>
      <c r="FO91" s="396"/>
      <c r="FP91" s="396"/>
      <c r="FQ91" s="396"/>
      <c r="FR91" s="396"/>
      <c r="FS91" s="396"/>
      <c r="FT91" s="396"/>
      <c r="FU91" s="396"/>
      <c r="FV91" s="396"/>
      <c r="FW91" s="396"/>
      <c r="FX91" s="396"/>
      <c r="FY91" s="396"/>
      <c r="FZ91" s="396"/>
      <c r="GA91" s="396"/>
      <c r="GB91" s="396"/>
      <c r="GC91" s="396"/>
      <c r="GD91" s="396"/>
      <c r="GE91" s="396"/>
      <c r="GF91" s="396"/>
      <c r="GG91" s="396"/>
      <c r="GH91" s="396"/>
      <c r="GI91" s="396"/>
      <c r="GJ91" s="396"/>
      <c r="GK91" s="396"/>
      <c r="GL91" s="396"/>
      <c r="GM91" s="396"/>
      <c r="GN91" s="396"/>
      <c r="GO91" s="396"/>
      <c r="GP91" s="396"/>
      <c r="GQ91" s="396"/>
      <c r="GR91" s="396"/>
      <c r="GS91" s="396"/>
      <c r="GT91" s="396"/>
      <c r="GU91" s="396"/>
      <c r="GV91" s="396"/>
      <c r="GW91" s="396"/>
      <c r="GX91" s="396"/>
      <c r="GY91" s="396"/>
      <c r="GZ91" s="396"/>
      <c r="HA91" s="396"/>
      <c r="HB91" s="396"/>
      <c r="HC91" s="396"/>
      <c r="HD91" s="396"/>
      <c r="HE91" s="396"/>
      <c r="HF91" s="396"/>
      <c r="HG91" s="396"/>
      <c r="HH91" s="396"/>
      <c r="HI91" s="396"/>
      <c r="HJ91" s="396"/>
      <c r="HK91" s="396"/>
      <c r="HL91" s="396"/>
      <c r="HM91" s="396"/>
      <c r="HN91" s="396"/>
      <c r="HO91" s="396"/>
      <c r="HP91" s="396"/>
      <c r="HQ91" s="396"/>
      <c r="HR91" s="396"/>
      <c r="HS91" s="396"/>
      <c r="HT91" s="396"/>
      <c r="HU91" s="396"/>
      <c r="HV91" s="396"/>
      <c r="HW91" s="396"/>
      <c r="HX91" s="396"/>
      <c r="HY91" s="396"/>
      <c r="HZ91" s="396"/>
      <c r="IA91" s="396"/>
      <c r="IB91" s="396"/>
      <c r="IC91" s="396"/>
      <c r="ID91" s="396"/>
      <c r="IE91" s="396"/>
      <c r="IF91" s="396"/>
      <c r="IG91" s="396"/>
      <c r="IH91" s="396"/>
      <c r="II91" s="396"/>
      <c r="IJ91" s="396"/>
      <c r="IK91" s="396"/>
      <c r="IL91" s="396"/>
      <c r="IM91" s="396"/>
      <c r="IN91" s="396"/>
      <c r="IO91" s="396"/>
      <c r="IP91" s="396"/>
      <c r="IQ91" s="396"/>
      <c r="IR91" s="396"/>
      <c r="IS91" s="396"/>
      <c r="IT91" s="396"/>
      <c r="IU91" s="396"/>
      <c r="IV91" s="396"/>
    </row>
    <row r="92" spans="1:256" s="290" customFormat="1" ht="75" x14ac:dyDescent="0.3">
      <c r="A92" s="69"/>
      <c r="B92" s="8"/>
      <c r="C92" s="82" t="s">
        <v>1442</v>
      </c>
      <c r="D92" s="269" t="s">
        <v>1443</v>
      </c>
      <c r="E92" s="71" t="s">
        <v>23</v>
      </c>
      <c r="F92" s="74">
        <f>4.7*3</f>
        <v>14.100000000000001</v>
      </c>
      <c r="G92" s="11">
        <v>3224000</v>
      </c>
      <c r="H92" s="355">
        <v>1</v>
      </c>
      <c r="I92" s="354">
        <v>1.1479999999999999</v>
      </c>
      <c r="J92" s="32">
        <f t="shared" ref="J92:J107" si="8">ROUND(F92*G92*H92*I92,-3)</f>
        <v>52186000</v>
      </c>
      <c r="K92" s="39">
        <f t="shared" si="5"/>
        <v>52186000</v>
      </c>
      <c r="L92" s="261">
        <f t="shared" si="7"/>
        <v>0</v>
      </c>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c r="HT92" s="14"/>
      <c r="HU92" s="14"/>
      <c r="HV92" s="14"/>
      <c r="HW92" s="14"/>
      <c r="HX92" s="14"/>
      <c r="HY92" s="14"/>
      <c r="HZ92" s="14"/>
      <c r="IA92" s="14"/>
      <c r="IB92" s="14"/>
      <c r="IC92" s="14"/>
      <c r="ID92" s="14"/>
      <c r="IE92" s="14"/>
      <c r="IF92" s="14"/>
      <c r="IG92" s="14"/>
      <c r="IH92" s="14"/>
      <c r="II92" s="14"/>
      <c r="IJ92" s="14"/>
      <c r="IK92" s="14"/>
      <c r="IL92" s="14"/>
      <c r="IM92" s="14"/>
      <c r="IN92" s="14"/>
      <c r="IO92" s="14"/>
      <c r="IP92" s="14"/>
      <c r="IQ92" s="14"/>
      <c r="IR92" s="14"/>
      <c r="IS92" s="14"/>
      <c r="IT92" s="14"/>
      <c r="IU92" s="14"/>
      <c r="IV92" s="14"/>
    </row>
    <row r="93" spans="1:256" s="290" customFormat="1" ht="40.5" customHeight="1" x14ac:dyDescent="0.3">
      <c r="A93" s="69"/>
      <c r="B93" s="8"/>
      <c r="C93" s="82" t="s">
        <v>1444</v>
      </c>
      <c r="D93" s="270" t="s">
        <v>562</v>
      </c>
      <c r="E93" s="71" t="s">
        <v>23</v>
      </c>
      <c r="F93" s="74">
        <f>5.5*6.3</f>
        <v>34.65</v>
      </c>
      <c r="G93" s="29">
        <v>577000</v>
      </c>
      <c r="H93" s="355">
        <v>1</v>
      </c>
      <c r="I93" s="354">
        <v>1.1479999999999999</v>
      </c>
      <c r="J93" s="32">
        <f t="shared" si="8"/>
        <v>22952000</v>
      </c>
      <c r="K93" s="39">
        <f t="shared" si="5"/>
        <v>22952000</v>
      </c>
      <c r="L93" s="261">
        <f t="shared" si="7"/>
        <v>0</v>
      </c>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c r="HT93" s="14"/>
      <c r="HU93" s="14"/>
      <c r="HV93" s="14"/>
      <c r="HW93" s="14"/>
      <c r="HX93" s="14"/>
      <c r="HY93" s="14"/>
      <c r="HZ93" s="14"/>
      <c r="IA93" s="14"/>
      <c r="IB93" s="14"/>
      <c r="IC93" s="14"/>
      <c r="ID93" s="14"/>
      <c r="IE93" s="14"/>
      <c r="IF93" s="14"/>
      <c r="IG93" s="14"/>
      <c r="IH93" s="14"/>
      <c r="II93" s="14"/>
      <c r="IJ93" s="14"/>
      <c r="IK93" s="14"/>
      <c r="IL93" s="14"/>
      <c r="IM93" s="14"/>
      <c r="IN93" s="14"/>
      <c r="IO93" s="14"/>
      <c r="IP93" s="14"/>
      <c r="IQ93" s="14"/>
      <c r="IR93" s="14"/>
      <c r="IS93" s="14"/>
      <c r="IT93" s="14"/>
      <c r="IU93" s="14"/>
      <c r="IV93" s="14"/>
    </row>
    <row r="94" spans="1:256" s="290" customFormat="1" ht="40.5" customHeight="1" x14ac:dyDescent="0.3">
      <c r="A94" s="69"/>
      <c r="B94" s="8"/>
      <c r="C94" s="82" t="s">
        <v>1445</v>
      </c>
      <c r="D94" s="270" t="s">
        <v>101</v>
      </c>
      <c r="E94" s="71" t="s">
        <v>23</v>
      </c>
      <c r="F94" s="74">
        <f>5*6.3</f>
        <v>31.5</v>
      </c>
      <c r="G94" s="29">
        <v>339000</v>
      </c>
      <c r="H94" s="355">
        <v>1</v>
      </c>
      <c r="I94" s="354">
        <v>1.1479999999999999</v>
      </c>
      <c r="J94" s="32">
        <f t="shared" si="8"/>
        <v>12259000</v>
      </c>
      <c r="K94" s="39">
        <f t="shared" si="5"/>
        <v>12259000</v>
      </c>
      <c r="L94" s="261">
        <f t="shared" si="7"/>
        <v>0</v>
      </c>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c r="HT94" s="14"/>
      <c r="HU94" s="14"/>
      <c r="HV94" s="14"/>
      <c r="HW94" s="14"/>
      <c r="HX94" s="14"/>
      <c r="HY94" s="14"/>
      <c r="HZ94" s="14"/>
      <c r="IA94" s="14"/>
      <c r="IB94" s="14"/>
      <c r="IC94" s="14"/>
      <c r="ID94" s="14"/>
      <c r="IE94" s="14"/>
      <c r="IF94" s="14"/>
      <c r="IG94" s="14"/>
      <c r="IH94" s="14"/>
      <c r="II94" s="14"/>
      <c r="IJ94" s="14"/>
      <c r="IK94" s="14"/>
      <c r="IL94" s="14"/>
      <c r="IM94" s="14"/>
      <c r="IN94" s="14"/>
      <c r="IO94" s="14"/>
      <c r="IP94" s="14"/>
      <c r="IQ94" s="14"/>
      <c r="IR94" s="14"/>
      <c r="IS94" s="14"/>
      <c r="IT94" s="14"/>
      <c r="IU94" s="14"/>
      <c r="IV94" s="14"/>
    </row>
    <row r="95" spans="1:256" s="290" customFormat="1" ht="40.5" customHeight="1" x14ac:dyDescent="0.3">
      <c r="A95" s="69"/>
      <c r="B95" s="8"/>
      <c r="C95" s="82" t="s">
        <v>1446</v>
      </c>
      <c r="D95" s="271" t="s">
        <v>32</v>
      </c>
      <c r="E95" s="71" t="s">
        <v>23</v>
      </c>
      <c r="F95" s="74">
        <f>5*6.3</f>
        <v>31.5</v>
      </c>
      <c r="G95" s="29">
        <v>215000</v>
      </c>
      <c r="H95" s="355">
        <v>0.8</v>
      </c>
      <c r="I95" s="151">
        <v>1.1479999999999999</v>
      </c>
      <c r="J95" s="32">
        <f t="shared" si="8"/>
        <v>6220000</v>
      </c>
      <c r="K95" s="39">
        <f t="shared" si="5"/>
        <v>6220000</v>
      </c>
      <c r="L95" s="261">
        <f t="shared" si="7"/>
        <v>0</v>
      </c>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c r="HT95" s="14"/>
      <c r="HU95" s="14"/>
      <c r="HV95" s="14"/>
      <c r="HW95" s="14"/>
      <c r="HX95" s="14"/>
      <c r="HY95" s="14"/>
      <c r="HZ95" s="14"/>
      <c r="IA95" s="14"/>
      <c r="IB95" s="14"/>
      <c r="IC95" s="14"/>
      <c r="ID95" s="14"/>
      <c r="IE95" s="14"/>
      <c r="IF95" s="14"/>
      <c r="IG95" s="14"/>
      <c r="IH95" s="14"/>
      <c r="II95" s="14"/>
      <c r="IJ95" s="14"/>
      <c r="IK95" s="14"/>
      <c r="IL95" s="14"/>
      <c r="IM95" s="14"/>
      <c r="IN95" s="14"/>
      <c r="IO95" s="14"/>
      <c r="IP95" s="14"/>
      <c r="IQ95" s="14"/>
      <c r="IR95" s="14"/>
      <c r="IS95" s="14"/>
      <c r="IT95" s="14"/>
      <c r="IU95" s="14"/>
      <c r="IV95" s="14"/>
    </row>
    <row r="96" spans="1:256" s="290" customFormat="1" ht="40.5" customHeight="1" x14ac:dyDescent="0.3">
      <c r="A96" s="69"/>
      <c r="B96" s="8"/>
      <c r="C96" s="82" t="s">
        <v>1447</v>
      </c>
      <c r="D96" s="270" t="s">
        <v>31</v>
      </c>
      <c r="E96" s="71" t="s">
        <v>23</v>
      </c>
      <c r="F96" s="74">
        <f>1.2*3</f>
        <v>3.5999999999999996</v>
      </c>
      <c r="G96" s="29">
        <v>339000</v>
      </c>
      <c r="H96" s="355">
        <v>1</v>
      </c>
      <c r="I96" s="151">
        <v>1.1479999999999999</v>
      </c>
      <c r="J96" s="32">
        <f t="shared" si="8"/>
        <v>1401000</v>
      </c>
      <c r="K96" s="39">
        <f t="shared" si="5"/>
        <v>1401000</v>
      </c>
      <c r="L96" s="261">
        <f t="shared" si="7"/>
        <v>0</v>
      </c>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c r="HT96" s="14"/>
      <c r="HU96" s="14"/>
      <c r="HV96" s="14"/>
      <c r="HW96" s="14"/>
      <c r="HX96" s="14"/>
      <c r="HY96" s="14"/>
      <c r="HZ96" s="14"/>
      <c r="IA96" s="14"/>
      <c r="IB96" s="14"/>
      <c r="IC96" s="14"/>
      <c r="ID96" s="14"/>
      <c r="IE96" s="14"/>
      <c r="IF96" s="14"/>
      <c r="IG96" s="14"/>
      <c r="IH96" s="14"/>
      <c r="II96" s="14"/>
      <c r="IJ96" s="14"/>
      <c r="IK96" s="14"/>
      <c r="IL96" s="14"/>
      <c r="IM96" s="14"/>
      <c r="IN96" s="14"/>
      <c r="IO96" s="14"/>
      <c r="IP96" s="14"/>
      <c r="IQ96" s="14"/>
      <c r="IR96" s="14"/>
      <c r="IS96" s="14"/>
      <c r="IT96" s="14"/>
      <c r="IU96" s="14"/>
      <c r="IV96" s="14"/>
    </row>
    <row r="97" spans="1:256" s="290" customFormat="1" ht="40.5" customHeight="1" x14ac:dyDescent="0.3">
      <c r="A97" s="69"/>
      <c r="B97" s="8"/>
      <c r="C97" s="82" t="s">
        <v>1448</v>
      </c>
      <c r="D97" s="267" t="s">
        <v>24</v>
      </c>
      <c r="E97" s="8" t="s">
        <v>25</v>
      </c>
      <c r="F97" s="74">
        <f>0.6*1.4</f>
        <v>0.84</v>
      </c>
      <c r="G97" s="29">
        <v>2828000</v>
      </c>
      <c r="H97" s="355">
        <v>1</v>
      </c>
      <c r="I97" s="151">
        <v>1.1479999999999999</v>
      </c>
      <c r="J97" s="32">
        <f t="shared" si="8"/>
        <v>2727000</v>
      </c>
      <c r="K97" s="39">
        <f t="shared" si="5"/>
        <v>2727000</v>
      </c>
      <c r="L97" s="261">
        <f t="shared" si="7"/>
        <v>0</v>
      </c>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c r="HT97" s="14"/>
      <c r="HU97" s="14"/>
      <c r="HV97" s="14"/>
      <c r="HW97" s="14"/>
      <c r="HX97" s="14"/>
      <c r="HY97" s="14"/>
      <c r="HZ97" s="14"/>
      <c r="IA97" s="14"/>
      <c r="IB97" s="14"/>
      <c r="IC97" s="14"/>
      <c r="ID97" s="14"/>
      <c r="IE97" s="14"/>
      <c r="IF97" s="14"/>
      <c r="IG97" s="14"/>
      <c r="IH97" s="14"/>
      <c r="II97" s="14"/>
      <c r="IJ97" s="14"/>
      <c r="IK97" s="14"/>
      <c r="IL97" s="14"/>
      <c r="IM97" s="14"/>
      <c r="IN97" s="14"/>
      <c r="IO97" s="14"/>
      <c r="IP97" s="14"/>
      <c r="IQ97" s="14"/>
      <c r="IR97" s="14"/>
      <c r="IS97" s="14"/>
      <c r="IT97" s="14"/>
      <c r="IU97" s="14"/>
      <c r="IV97" s="14"/>
    </row>
    <row r="98" spans="1:256" s="290" customFormat="1" ht="40.5" customHeight="1" x14ac:dyDescent="0.3">
      <c r="A98" s="69"/>
      <c r="B98" s="8"/>
      <c r="C98" s="82" t="s">
        <v>1449</v>
      </c>
      <c r="D98" s="270" t="s">
        <v>66</v>
      </c>
      <c r="E98" s="71" t="s">
        <v>23</v>
      </c>
      <c r="F98" s="74">
        <f>8.4*0.1+2*4+1.3*2.4+2.65*0.6</f>
        <v>13.55</v>
      </c>
      <c r="G98" s="29">
        <v>339000</v>
      </c>
      <c r="H98" s="355">
        <v>1</v>
      </c>
      <c r="I98" s="354">
        <v>1.1479999999999999</v>
      </c>
      <c r="J98" s="32">
        <f t="shared" si="8"/>
        <v>5273000</v>
      </c>
      <c r="K98" s="39">
        <f t="shared" si="5"/>
        <v>5273000</v>
      </c>
      <c r="L98" s="261">
        <f t="shared" si="7"/>
        <v>0</v>
      </c>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c r="HT98" s="14"/>
      <c r="HU98" s="14"/>
      <c r="HV98" s="14"/>
      <c r="HW98" s="14"/>
      <c r="HX98" s="14"/>
      <c r="HY98" s="14"/>
      <c r="HZ98" s="14"/>
      <c r="IA98" s="14"/>
      <c r="IB98" s="14"/>
      <c r="IC98" s="14"/>
      <c r="ID98" s="14"/>
      <c r="IE98" s="14"/>
      <c r="IF98" s="14"/>
      <c r="IG98" s="14"/>
      <c r="IH98" s="14"/>
      <c r="II98" s="14"/>
      <c r="IJ98" s="14"/>
      <c r="IK98" s="14"/>
      <c r="IL98" s="14"/>
      <c r="IM98" s="14"/>
      <c r="IN98" s="14"/>
      <c r="IO98" s="14"/>
      <c r="IP98" s="14"/>
      <c r="IQ98" s="14"/>
      <c r="IR98" s="14"/>
      <c r="IS98" s="14"/>
      <c r="IT98" s="14"/>
      <c r="IU98" s="14"/>
      <c r="IV98" s="14"/>
    </row>
    <row r="99" spans="1:256" s="290" customFormat="1" ht="40.5" customHeight="1" x14ac:dyDescent="0.3">
      <c r="A99" s="69"/>
      <c r="B99" s="8"/>
      <c r="C99" s="82" t="s">
        <v>1450</v>
      </c>
      <c r="D99" s="270" t="s">
        <v>28</v>
      </c>
      <c r="E99" s="71" t="s">
        <v>23</v>
      </c>
      <c r="F99" s="74">
        <f>4*0.5</f>
        <v>2</v>
      </c>
      <c r="G99" s="11">
        <v>396000</v>
      </c>
      <c r="H99" s="355">
        <v>1</v>
      </c>
      <c r="I99" s="151">
        <v>1.1479999999999999</v>
      </c>
      <c r="J99" s="32">
        <f t="shared" si="8"/>
        <v>909000</v>
      </c>
      <c r="K99" s="39">
        <f t="shared" si="5"/>
        <v>909000</v>
      </c>
      <c r="L99" s="261">
        <f t="shared" si="7"/>
        <v>0</v>
      </c>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c r="HT99" s="14"/>
      <c r="HU99" s="14"/>
      <c r="HV99" s="14"/>
      <c r="HW99" s="14"/>
      <c r="HX99" s="14"/>
      <c r="HY99" s="14"/>
      <c r="HZ99" s="14"/>
      <c r="IA99" s="14"/>
      <c r="IB99" s="14"/>
      <c r="IC99" s="14"/>
      <c r="ID99" s="14"/>
      <c r="IE99" s="14"/>
      <c r="IF99" s="14"/>
      <c r="IG99" s="14"/>
      <c r="IH99" s="14"/>
      <c r="II99" s="14"/>
      <c r="IJ99" s="14"/>
      <c r="IK99" s="14"/>
      <c r="IL99" s="14"/>
      <c r="IM99" s="14"/>
      <c r="IN99" s="14"/>
      <c r="IO99" s="14"/>
      <c r="IP99" s="14"/>
      <c r="IQ99" s="14"/>
      <c r="IR99" s="14"/>
      <c r="IS99" s="14"/>
      <c r="IT99" s="14"/>
      <c r="IU99" s="14"/>
      <c r="IV99" s="14"/>
    </row>
    <row r="100" spans="1:256" s="290" customFormat="1" ht="40.5" customHeight="1" x14ac:dyDescent="0.3">
      <c r="A100" s="69"/>
      <c r="B100" s="8"/>
      <c r="C100" s="82" t="s">
        <v>1451</v>
      </c>
      <c r="D100" s="270" t="s">
        <v>68</v>
      </c>
      <c r="E100" s="96" t="s">
        <v>91</v>
      </c>
      <c r="F100" s="74">
        <f>4.5*2.8</f>
        <v>12.6</v>
      </c>
      <c r="G100" s="46">
        <v>213000</v>
      </c>
      <c r="H100" s="355">
        <v>1</v>
      </c>
      <c r="I100" s="151">
        <v>1.1479999999999999</v>
      </c>
      <c r="J100" s="32">
        <f t="shared" si="8"/>
        <v>3081000</v>
      </c>
      <c r="K100" s="39">
        <f t="shared" si="5"/>
        <v>3081000</v>
      </c>
      <c r="L100" s="261">
        <f t="shared" si="7"/>
        <v>0</v>
      </c>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c r="HT100" s="14"/>
      <c r="HU100" s="14"/>
      <c r="HV100" s="14"/>
      <c r="HW100" s="14"/>
      <c r="HX100" s="14"/>
      <c r="HY100" s="14"/>
      <c r="HZ100" s="14"/>
      <c r="IA100" s="14"/>
      <c r="IB100" s="14"/>
      <c r="IC100" s="14"/>
      <c r="ID100" s="14"/>
      <c r="IE100" s="14"/>
      <c r="IF100" s="14"/>
      <c r="IG100" s="14"/>
      <c r="IH100" s="14"/>
      <c r="II100" s="14"/>
      <c r="IJ100" s="14"/>
      <c r="IK100" s="14"/>
      <c r="IL100" s="14"/>
      <c r="IM100" s="14"/>
      <c r="IN100" s="14"/>
      <c r="IO100" s="14"/>
      <c r="IP100" s="14"/>
      <c r="IQ100" s="14"/>
      <c r="IR100" s="14"/>
      <c r="IS100" s="14"/>
      <c r="IT100" s="14"/>
      <c r="IU100" s="14"/>
      <c r="IV100" s="14"/>
    </row>
    <row r="101" spans="1:256" s="290" customFormat="1" ht="40.5" customHeight="1" x14ac:dyDescent="0.3">
      <c r="A101" s="69"/>
      <c r="B101" s="8"/>
      <c r="C101" s="82" t="s">
        <v>1452</v>
      </c>
      <c r="D101" s="267" t="s">
        <v>95</v>
      </c>
      <c r="E101" s="71" t="s">
        <v>25</v>
      </c>
      <c r="F101" s="74">
        <f>4*0.35*0.15</f>
        <v>0.21</v>
      </c>
      <c r="G101" s="11">
        <v>1000000</v>
      </c>
      <c r="H101" s="355">
        <v>1</v>
      </c>
      <c r="I101" s="151">
        <v>1.1479999999999999</v>
      </c>
      <c r="J101" s="32">
        <f t="shared" si="8"/>
        <v>241000</v>
      </c>
      <c r="K101" s="39">
        <f t="shared" si="5"/>
        <v>241000</v>
      </c>
      <c r="L101" s="261">
        <f t="shared" si="7"/>
        <v>0</v>
      </c>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c r="HT101" s="14"/>
      <c r="HU101" s="14"/>
      <c r="HV101" s="14"/>
      <c r="HW101" s="14"/>
      <c r="HX101" s="14"/>
      <c r="HY101" s="14"/>
      <c r="HZ101" s="14"/>
      <c r="IA101" s="14"/>
      <c r="IB101" s="14"/>
      <c r="IC101" s="14"/>
      <c r="ID101" s="14"/>
      <c r="IE101" s="14"/>
      <c r="IF101" s="14"/>
      <c r="IG101" s="14"/>
      <c r="IH101" s="14"/>
      <c r="II101" s="14"/>
      <c r="IJ101" s="14"/>
      <c r="IK101" s="14"/>
      <c r="IL101" s="14"/>
      <c r="IM101" s="14"/>
      <c r="IN101" s="14"/>
      <c r="IO101" s="14"/>
      <c r="IP101" s="14"/>
      <c r="IQ101" s="14"/>
      <c r="IR101" s="14"/>
      <c r="IS101" s="14"/>
      <c r="IT101" s="14"/>
      <c r="IU101" s="14"/>
      <c r="IV101" s="14"/>
    </row>
    <row r="102" spans="1:256" s="290" customFormat="1" ht="25.5" x14ac:dyDescent="0.3">
      <c r="A102" s="69"/>
      <c r="B102" s="8"/>
      <c r="C102" s="82" t="s">
        <v>1453</v>
      </c>
      <c r="D102" s="270" t="s">
        <v>51</v>
      </c>
      <c r="E102" s="71" t="s">
        <v>23</v>
      </c>
      <c r="F102" s="74">
        <f>1.2*3</f>
        <v>3.5999999999999996</v>
      </c>
      <c r="G102" s="29">
        <v>453000</v>
      </c>
      <c r="H102" s="355">
        <v>1</v>
      </c>
      <c r="I102" s="354">
        <v>1.1479999999999999</v>
      </c>
      <c r="J102" s="32">
        <f t="shared" si="8"/>
        <v>1872000</v>
      </c>
      <c r="K102" s="39">
        <f t="shared" si="5"/>
        <v>1872000</v>
      </c>
      <c r="L102" s="261">
        <f t="shared" si="7"/>
        <v>0</v>
      </c>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4"/>
      <c r="GC102" s="14"/>
      <c r="GD102" s="14"/>
      <c r="GE102" s="14"/>
      <c r="GF102" s="14"/>
      <c r="GG102" s="14"/>
      <c r="GH102" s="14"/>
      <c r="GI102" s="14"/>
      <c r="GJ102" s="14"/>
      <c r="GK102" s="14"/>
      <c r="GL102" s="14"/>
      <c r="GM102" s="14"/>
      <c r="GN102" s="14"/>
      <c r="GO102" s="14"/>
      <c r="GP102" s="14"/>
      <c r="GQ102" s="14"/>
      <c r="GR102" s="14"/>
      <c r="GS102" s="14"/>
      <c r="GT102" s="14"/>
      <c r="GU102" s="14"/>
      <c r="GV102" s="14"/>
      <c r="GW102" s="14"/>
      <c r="GX102" s="14"/>
      <c r="GY102" s="14"/>
      <c r="GZ102" s="14"/>
      <c r="HA102" s="14"/>
      <c r="HB102" s="14"/>
      <c r="HC102" s="14"/>
      <c r="HD102" s="14"/>
      <c r="HE102" s="14"/>
      <c r="HF102" s="14"/>
      <c r="HG102" s="14"/>
      <c r="HH102" s="14"/>
      <c r="HI102" s="14"/>
      <c r="HJ102" s="14"/>
      <c r="HK102" s="14"/>
      <c r="HL102" s="14"/>
      <c r="HM102" s="14"/>
      <c r="HN102" s="14"/>
      <c r="HO102" s="14"/>
      <c r="HP102" s="14"/>
      <c r="HQ102" s="14"/>
      <c r="HR102" s="14"/>
      <c r="HS102" s="14"/>
      <c r="HT102" s="14"/>
      <c r="HU102" s="14"/>
      <c r="HV102" s="14"/>
      <c r="HW102" s="14"/>
      <c r="HX102" s="14"/>
      <c r="HY102" s="14"/>
      <c r="HZ102" s="14"/>
      <c r="IA102" s="14"/>
      <c r="IB102" s="14"/>
      <c r="IC102" s="14"/>
      <c r="ID102" s="14"/>
      <c r="IE102" s="14"/>
      <c r="IF102" s="14"/>
      <c r="IG102" s="14"/>
      <c r="IH102" s="14"/>
      <c r="II102" s="14"/>
      <c r="IJ102" s="14"/>
      <c r="IK102" s="14"/>
      <c r="IL102" s="14"/>
      <c r="IM102" s="14"/>
      <c r="IN102" s="14"/>
      <c r="IO102" s="14"/>
      <c r="IP102" s="14"/>
      <c r="IQ102" s="14"/>
      <c r="IR102" s="14"/>
      <c r="IS102" s="14"/>
      <c r="IT102" s="14"/>
      <c r="IU102" s="14"/>
      <c r="IV102" s="14"/>
    </row>
    <row r="103" spans="1:256" s="290" customFormat="1" ht="38.25" x14ac:dyDescent="0.3">
      <c r="A103" s="69"/>
      <c r="B103" s="8"/>
      <c r="C103" s="82" t="s">
        <v>1454</v>
      </c>
      <c r="D103" s="267" t="s">
        <v>26</v>
      </c>
      <c r="E103" s="71" t="s">
        <v>23</v>
      </c>
      <c r="F103" s="74">
        <f>2*2.2</f>
        <v>4.4000000000000004</v>
      </c>
      <c r="G103" s="29">
        <v>679000</v>
      </c>
      <c r="H103" s="355">
        <v>1</v>
      </c>
      <c r="I103" s="354">
        <v>1.1479999999999999</v>
      </c>
      <c r="J103" s="32">
        <f t="shared" si="8"/>
        <v>3430000</v>
      </c>
      <c r="K103" s="39">
        <f t="shared" si="5"/>
        <v>3430000</v>
      </c>
      <c r="L103" s="261">
        <f t="shared" si="7"/>
        <v>0</v>
      </c>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4"/>
      <c r="GI103" s="14"/>
      <c r="GJ103" s="14"/>
      <c r="GK103" s="14"/>
      <c r="GL103" s="14"/>
      <c r="GM103" s="14"/>
      <c r="GN103" s="14"/>
      <c r="GO103" s="14"/>
      <c r="GP103" s="14"/>
      <c r="GQ103" s="14"/>
      <c r="GR103" s="14"/>
      <c r="GS103" s="14"/>
      <c r="GT103" s="14"/>
      <c r="GU103" s="14"/>
      <c r="GV103" s="14"/>
      <c r="GW103" s="14"/>
      <c r="GX103" s="14"/>
      <c r="GY103" s="14"/>
      <c r="GZ103" s="14"/>
      <c r="HA103" s="14"/>
      <c r="HB103" s="14"/>
      <c r="HC103" s="14"/>
      <c r="HD103" s="14"/>
      <c r="HE103" s="14"/>
      <c r="HF103" s="14"/>
      <c r="HG103" s="14"/>
      <c r="HH103" s="14"/>
      <c r="HI103" s="14"/>
      <c r="HJ103" s="14"/>
      <c r="HK103" s="14"/>
      <c r="HL103" s="14"/>
      <c r="HM103" s="14"/>
      <c r="HN103" s="14"/>
      <c r="HO103" s="14"/>
      <c r="HP103" s="14"/>
      <c r="HQ103" s="14"/>
      <c r="HR103" s="14"/>
      <c r="HS103" s="14"/>
      <c r="HT103" s="14"/>
      <c r="HU103" s="14"/>
      <c r="HV103" s="14"/>
      <c r="HW103" s="14"/>
      <c r="HX103" s="14"/>
      <c r="HY103" s="14"/>
      <c r="HZ103" s="14"/>
      <c r="IA103" s="14"/>
      <c r="IB103" s="14"/>
      <c r="IC103" s="14"/>
      <c r="ID103" s="14"/>
      <c r="IE103" s="14"/>
      <c r="IF103" s="14"/>
      <c r="IG103" s="14"/>
      <c r="IH103" s="14"/>
      <c r="II103" s="14"/>
      <c r="IJ103" s="14"/>
      <c r="IK103" s="14"/>
      <c r="IL103" s="14"/>
      <c r="IM103" s="14"/>
      <c r="IN103" s="14"/>
      <c r="IO103" s="14"/>
      <c r="IP103" s="14"/>
      <c r="IQ103" s="14"/>
      <c r="IR103" s="14"/>
      <c r="IS103" s="14"/>
      <c r="IT103" s="14"/>
      <c r="IU103" s="14"/>
      <c r="IV103" s="14"/>
    </row>
    <row r="104" spans="1:256" s="290" customFormat="1" ht="25.5" x14ac:dyDescent="0.3">
      <c r="A104" s="69"/>
      <c r="B104" s="8"/>
      <c r="C104" s="143" t="s">
        <v>1455</v>
      </c>
      <c r="D104" s="271" t="s">
        <v>94</v>
      </c>
      <c r="E104" s="63" t="s">
        <v>35</v>
      </c>
      <c r="F104" s="98">
        <v>1</v>
      </c>
      <c r="G104" s="112">
        <v>1065100</v>
      </c>
      <c r="H104" s="365">
        <v>1</v>
      </c>
      <c r="I104" s="366">
        <v>1</v>
      </c>
      <c r="J104" s="367">
        <f t="shared" si="8"/>
        <v>1065000</v>
      </c>
      <c r="K104" s="39">
        <f t="shared" si="5"/>
        <v>1065000</v>
      </c>
      <c r="L104" s="261">
        <f t="shared" si="7"/>
        <v>0</v>
      </c>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c r="EW104" s="14"/>
      <c r="EX104" s="14"/>
      <c r="EY104" s="14"/>
      <c r="EZ104" s="14"/>
      <c r="FA104" s="14"/>
      <c r="FB104" s="14"/>
      <c r="FC104" s="14"/>
      <c r="FD104" s="14"/>
      <c r="FE104" s="14"/>
      <c r="FF104" s="14"/>
      <c r="FG104" s="14"/>
      <c r="FH104" s="14"/>
      <c r="FI104" s="14"/>
      <c r="FJ104" s="14"/>
      <c r="FK104" s="14"/>
      <c r="FL104" s="14"/>
      <c r="FM104" s="14"/>
      <c r="FN104" s="14"/>
      <c r="FO104" s="14"/>
      <c r="FP104" s="14"/>
      <c r="FQ104" s="14"/>
      <c r="FR104" s="14"/>
      <c r="FS104" s="14"/>
      <c r="FT104" s="14"/>
      <c r="FU104" s="14"/>
      <c r="FV104" s="14"/>
      <c r="FW104" s="14"/>
      <c r="FX104" s="14"/>
      <c r="FY104" s="14"/>
      <c r="FZ104" s="14"/>
      <c r="GA104" s="14"/>
      <c r="GB104" s="14"/>
      <c r="GC104" s="14"/>
      <c r="GD104" s="14"/>
      <c r="GE104" s="14"/>
      <c r="GF104" s="14"/>
      <c r="GG104" s="14"/>
      <c r="GH104" s="14"/>
      <c r="GI104" s="14"/>
      <c r="GJ104" s="14"/>
      <c r="GK104" s="14"/>
      <c r="GL104" s="14"/>
      <c r="GM104" s="14"/>
      <c r="GN104" s="14"/>
      <c r="GO104" s="14"/>
      <c r="GP104" s="14"/>
      <c r="GQ104" s="14"/>
      <c r="GR104" s="14"/>
      <c r="GS104" s="14"/>
      <c r="GT104" s="14"/>
      <c r="GU104" s="14"/>
      <c r="GV104" s="14"/>
      <c r="GW104" s="14"/>
      <c r="GX104" s="14"/>
      <c r="GY104" s="14"/>
      <c r="GZ104" s="14"/>
      <c r="HA104" s="14"/>
      <c r="HB104" s="14"/>
      <c r="HC104" s="14"/>
      <c r="HD104" s="14"/>
      <c r="HE104" s="14"/>
      <c r="HF104" s="14"/>
      <c r="HG104" s="14"/>
      <c r="HH104" s="14"/>
      <c r="HI104" s="14"/>
      <c r="HJ104" s="14"/>
      <c r="HK104" s="14"/>
      <c r="HL104" s="14"/>
      <c r="HM104" s="14"/>
      <c r="HN104" s="14"/>
      <c r="HO104" s="14"/>
      <c r="HP104" s="14"/>
      <c r="HQ104" s="14"/>
      <c r="HR104" s="14"/>
      <c r="HS104" s="14"/>
      <c r="HT104" s="14"/>
      <c r="HU104" s="14"/>
      <c r="HV104" s="14"/>
      <c r="HW104" s="14"/>
      <c r="HX104" s="14"/>
      <c r="HY104" s="14"/>
      <c r="HZ104" s="14"/>
      <c r="IA104" s="14"/>
      <c r="IB104" s="14"/>
      <c r="IC104" s="14"/>
      <c r="ID104" s="14"/>
      <c r="IE104" s="14"/>
      <c r="IF104" s="14"/>
      <c r="IG104" s="14"/>
      <c r="IH104" s="14"/>
      <c r="II104" s="14"/>
      <c r="IJ104" s="14"/>
      <c r="IK104" s="14"/>
      <c r="IL104" s="14"/>
      <c r="IM104" s="14"/>
      <c r="IN104" s="14"/>
      <c r="IO104" s="14"/>
      <c r="IP104" s="14"/>
      <c r="IQ104" s="14"/>
      <c r="IR104" s="14"/>
      <c r="IS104" s="14"/>
      <c r="IT104" s="14"/>
      <c r="IU104" s="14"/>
      <c r="IV104" s="14"/>
    </row>
    <row r="105" spans="1:256" s="290" customFormat="1" ht="25.5" x14ac:dyDescent="0.3">
      <c r="A105" s="69"/>
      <c r="B105" s="8"/>
      <c r="C105" s="143" t="s">
        <v>1456</v>
      </c>
      <c r="D105" s="271" t="s">
        <v>94</v>
      </c>
      <c r="E105" s="63" t="s">
        <v>35</v>
      </c>
      <c r="F105" s="98">
        <v>1</v>
      </c>
      <c r="G105" s="112">
        <v>1065100</v>
      </c>
      <c r="H105" s="365">
        <v>1</v>
      </c>
      <c r="I105" s="366">
        <v>1</v>
      </c>
      <c r="J105" s="367">
        <f t="shared" si="8"/>
        <v>1065000</v>
      </c>
      <c r="K105" s="39">
        <f t="shared" si="5"/>
        <v>1065000</v>
      </c>
      <c r="L105" s="261">
        <f t="shared" si="7"/>
        <v>0</v>
      </c>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c r="FC105" s="14"/>
      <c r="FD105" s="14"/>
      <c r="FE105" s="14"/>
      <c r="FF105" s="14"/>
      <c r="FG105" s="14"/>
      <c r="FH105" s="14"/>
      <c r="FI105" s="14"/>
      <c r="FJ105" s="14"/>
      <c r="FK105" s="14"/>
      <c r="FL105" s="14"/>
      <c r="FM105" s="14"/>
      <c r="FN105" s="14"/>
      <c r="FO105" s="14"/>
      <c r="FP105" s="14"/>
      <c r="FQ105" s="14"/>
      <c r="FR105" s="14"/>
      <c r="FS105" s="14"/>
      <c r="FT105" s="14"/>
      <c r="FU105" s="14"/>
      <c r="FV105" s="14"/>
      <c r="FW105" s="14"/>
      <c r="FX105" s="14"/>
      <c r="FY105" s="14"/>
      <c r="FZ105" s="14"/>
      <c r="GA105" s="14"/>
      <c r="GB105" s="14"/>
      <c r="GC105" s="14"/>
      <c r="GD105" s="14"/>
      <c r="GE105" s="14"/>
      <c r="GF105" s="14"/>
      <c r="GG105" s="14"/>
      <c r="GH105" s="14"/>
      <c r="GI105" s="14"/>
      <c r="GJ105" s="14"/>
      <c r="GK105" s="14"/>
      <c r="GL105" s="14"/>
      <c r="GM105" s="14"/>
      <c r="GN105" s="14"/>
      <c r="GO105" s="14"/>
      <c r="GP105" s="14"/>
      <c r="GQ105" s="14"/>
      <c r="GR105" s="14"/>
      <c r="GS105" s="14"/>
      <c r="GT105" s="14"/>
      <c r="GU105" s="14"/>
      <c r="GV105" s="14"/>
      <c r="GW105" s="14"/>
      <c r="GX105" s="14"/>
      <c r="GY105" s="14"/>
      <c r="GZ105" s="14"/>
      <c r="HA105" s="14"/>
      <c r="HB105" s="14"/>
      <c r="HC105" s="14"/>
      <c r="HD105" s="14"/>
      <c r="HE105" s="14"/>
      <c r="HF105" s="14"/>
      <c r="HG105" s="14"/>
      <c r="HH105" s="14"/>
      <c r="HI105" s="14"/>
      <c r="HJ105" s="14"/>
      <c r="HK105" s="14"/>
      <c r="HL105" s="14"/>
      <c r="HM105" s="14"/>
      <c r="HN105" s="14"/>
      <c r="HO105" s="14"/>
      <c r="HP105" s="14"/>
      <c r="HQ105" s="14"/>
      <c r="HR105" s="14"/>
      <c r="HS105" s="14"/>
      <c r="HT105" s="14"/>
      <c r="HU105" s="14"/>
      <c r="HV105" s="14"/>
      <c r="HW105" s="14"/>
      <c r="HX105" s="14"/>
      <c r="HY105" s="14"/>
      <c r="HZ105" s="14"/>
      <c r="IA105" s="14"/>
      <c r="IB105" s="14"/>
      <c r="IC105" s="14"/>
      <c r="ID105" s="14"/>
      <c r="IE105" s="14"/>
      <c r="IF105" s="14"/>
      <c r="IG105" s="14"/>
      <c r="IH105" s="14"/>
      <c r="II105" s="14"/>
      <c r="IJ105" s="14"/>
      <c r="IK105" s="14"/>
      <c r="IL105" s="14"/>
      <c r="IM105" s="14"/>
      <c r="IN105" s="14"/>
      <c r="IO105" s="14"/>
      <c r="IP105" s="14"/>
      <c r="IQ105" s="14"/>
      <c r="IR105" s="14"/>
      <c r="IS105" s="14"/>
      <c r="IT105" s="14"/>
      <c r="IU105" s="14"/>
      <c r="IV105" s="14"/>
    </row>
    <row r="106" spans="1:256" s="290" customFormat="1" ht="38.25" x14ac:dyDescent="0.3">
      <c r="A106" s="104"/>
      <c r="B106" s="105"/>
      <c r="C106" s="113" t="s">
        <v>1457</v>
      </c>
      <c r="D106" s="399" t="s">
        <v>44</v>
      </c>
      <c r="E106" s="126" t="s">
        <v>45</v>
      </c>
      <c r="F106" s="123">
        <v>7</v>
      </c>
      <c r="G106" s="177">
        <v>28000</v>
      </c>
      <c r="H106" s="355">
        <v>1</v>
      </c>
      <c r="I106" s="400">
        <v>1.1479999999999999</v>
      </c>
      <c r="J106" s="378">
        <f t="shared" si="8"/>
        <v>225000</v>
      </c>
      <c r="K106" s="39">
        <f t="shared" si="5"/>
        <v>225000</v>
      </c>
      <c r="L106" s="261">
        <f t="shared" si="7"/>
        <v>0</v>
      </c>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c r="EV106" s="14"/>
      <c r="EW106" s="14"/>
      <c r="EX106" s="14"/>
      <c r="EY106" s="14"/>
      <c r="EZ106" s="14"/>
      <c r="FA106" s="14"/>
      <c r="FB106" s="14"/>
      <c r="FC106" s="14"/>
      <c r="FD106" s="14"/>
      <c r="FE106" s="14"/>
      <c r="FF106" s="14"/>
      <c r="FG106" s="14"/>
      <c r="FH106" s="14"/>
      <c r="FI106" s="14"/>
      <c r="FJ106" s="14"/>
      <c r="FK106" s="14"/>
      <c r="FL106" s="14"/>
      <c r="FM106" s="14"/>
      <c r="FN106" s="14"/>
      <c r="FO106" s="14"/>
      <c r="FP106" s="14"/>
      <c r="FQ106" s="14"/>
      <c r="FR106" s="14"/>
      <c r="FS106" s="14"/>
      <c r="FT106" s="14"/>
      <c r="FU106" s="14"/>
      <c r="FV106" s="14"/>
      <c r="FW106" s="14"/>
      <c r="FX106" s="14"/>
      <c r="FY106" s="14"/>
      <c r="FZ106" s="14"/>
      <c r="GA106" s="14"/>
      <c r="GB106" s="14"/>
      <c r="GC106" s="14"/>
      <c r="GD106" s="14"/>
      <c r="GE106" s="14"/>
      <c r="GF106" s="14"/>
      <c r="GG106" s="14"/>
      <c r="GH106" s="14"/>
      <c r="GI106" s="14"/>
      <c r="GJ106" s="14"/>
      <c r="GK106" s="14"/>
      <c r="GL106" s="14"/>
      <c r="GM106" s="14"/>
      <c r="GN106" s="14"/>
      <c r="GO106" s="14"/>
      <c r="GP106" s="14"/>
      <c r="GQ106" s="14"/>
      <c r="GR106" s="14"/>
      <c r="GS106" s="14"/>
      <c r="GT106" s="14"/>
      <c r="GU106" s="14"/>
      <c r="GV106" s="14"/>
      <c r="GW106" s="14"/>
      <c r="GX106" s="14"/>
      <c r="GY106" s="14"/>
      <c r="GZ106" s="14"/>
      <c r="HA106" s="14"/>
      <c r="HB106" s="14"/>
      <c r="HC106" s="14"/>
      <c r="HD106" s="14"/>
      <c r="HE106" s="14"/>
      <c r="HF106" s="14"/>
      <c r="HG106" s="14"/>
      <c r="HH106" s="14"/>
      <c r="HI106" s="14"/>
      <c r="HJ106" s="14"/>
      <c r="HK106" s="14"/>
      <c r="HL106" s="14"/>
      <c r="HM106" s="14"/>
      <c r="HN106" s="14"/>
      <c r="HO106" s="14"/>
      <c r="HP106" s="14"/>
      <c r="HQ106" s="14"/>
      <c r="HR106" s="14"/>
      <c r="HS106" s="14"/>
      <c r="HT106" s="14"/>
      <c r="HU106" s="14"/>
      <c r="HV106" s="14"/>
      <c r="HW106" s="14"/>
      <c r="HX106" s="14"/>
      <c r="HY106" s="14"/>
      <c r="HZ106" s="14"/>
      <c r="IA106" s="14"/>
      <c r="IB106" s="14"/>
      <c r="IC106" s="14"/>
      <c r="ID106" s="14"/>
      <c r="IE106" s="14"/>
      <c r="IF106" s="14"/>
      <c r="IG106" s="14"/>
      <c r="IH106" s="14"/>
      <c r="II106" s="14"/>
      <c r="IJ106" s="14"/>
      <c r="IK106" s="14"/>
      <c r="IL106" s="14"/>
      <c r="IM106" s="14"/>
      <c r="IN106" s="14"/>
      <c r="IO106" s="14"/>
      <c r="IP106" s="14"/>
      <c r="IQ106" s="14"/>
      <c r="IR106" s="14"/>
      <c r="IS106" s="14"/>
      <c r="IT106" s="14"/>
      <c r="IU106" s="14"/>
      <c r="IV106" s="14"/>
    </row>
    <row r="107" spans="1:256" s="290" customFormat="1" ht="38.25" x14ac:dyDescent="0.3">
      <c r="A107" s="69"/>
      <c r="B107" s="8"/>
      <c r="C107" s="113" t="s">
        <v>1458</v>
      </c>
      <c r="D107" s="271" t="s">
        <v>47</v>
      </c>
      <c r="E107" s="63" t="s">
        <v>45</v>
      </c>
      <c r="F107" s="157">
        <v>7</v>
      </c>
      <c r="G107" s="46">
        <v>28000</v>
      </c>
      <c r="H107" s="355">
        <v>1</v>
      </c>
      <c r="I107" s="354">
        <v>1.1479999999999999</v>
      </c>
      <c r="J107" s="378">
        <f t="shared" si="8"/>
        <v>225000</v>
      </c>
      <c r="K107" s="39">
        <f t="shared" si="5"/>
        <v>225000</v>
      </c>
      <c r="L107" s="261">
        <f t="shared" si="7"/>
        <v>0</v>
      </c>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c r="EQ107" s="14"/>
      <c r="ER107" s="14"/>
      <c r="ES107" s="14"/>
      <c r="ET107" s="14"/>
      <c r="EU107" s="14"/>
      <c r="EV107" s="14"/>
      <c r="EW107" s="14"/>
      <c r="EX107" s="14"/>
      <c r="EY107" s="14"/>
      <c r="EZ107" s="14"/>
      <c r="FA107" s="14"/>
      <c r="FB107" s="14"/>
      <c r="FC107" s="14"/>
      <c r="FD107" s="14"/>
      <c r="FE107" s="14"/>
      <c r="FF107" s="14"/>
      <c r="FG107" s="14"/>
      <c r="FH107" s="14"/>
      <c r="FI107" s="14"/>
      <c r="FJ107" s="14"/>
      <c r="FK107" s="14"/>
      <c r="FL107" s="14"/>
      <c r="FM107" s="14"/>
      <c r="FN107" s="14"/>
      <c r="FO107" s="14"/>
      <c r="FP107" s="14"/>
      <c r="FQ107" s="14"/>
      <c r="FR107" s="14"/>
      <c r="FS107" s="14"/>
      <c r="FT107" s="14"/>
      <c r="FU107" s="14"/>
      <c r="FV107" s="14"/>
      <c r="FW107" s="14"/>
      <c r="FX107" s="14"/>
      <c r="FY107" s="14"/>
      <c r="FZ107" s="14"/>
      <c r="GA107" s="14"/>
      <c r="GB107" s="14"/>
      <c r="GC107" s="14"/>
      <c r="GD107" s="14"/>
      <c r="GE107" s="14"/>
      <c r="GF107" s="14"/>
      <c r="GG107" s="14"/>
      <c r="GH107" s="14"/>
      <c r="GI107" s="14"/>
      <c r="GJ107" s="14"/>
      <c r="GK107" s="14"/>
      <c r="GL107" s="14"/>
      <c r="GM107" s="14"/>
      <c r="GN107" s="14"/>
      <c r="GO107" s="14"/>
      <c r="GP107" s="14"/>
      <c r="GQ107" s="14"/>
      <c r="GR107" s="14"/>
      <c r="GS107" s="14"/>
      <c r="GT107" s="14"/>
      <c r="GU107" s="14"/>
      <c r="GV107" s="14"/>
      <c r="GW107" s="14"/>
      <c r="GX107" s="14"/>
      <c r="GY107" s="14"/>
      <c r="GZ107" s="14"/>
      <c r="HA107" s="14"/>
      <c r="HB107" s="14"/>
      <c r="HC107" s="14"/>
      <c r="HD107" s="14"/>
      <c r="HE107" s="14"/>
      <c r="HF107" s="14"/>
      <c r="HG107" s="14"/>
      <c r="HH107" s="14"/>
      <c r="HI107" s="14"/>
      <c r="HJ107" s="14"/>
      <c r="HK107" s="14"/>
      <c r="HL107" s="14"/>
      <c r="HM107" s="14"/>
      <c r="HN107" s="14"/>
      <c r="HO107" s="14"/>
      <c r="HP107" s="14"/>
      <c r="HQ107" s="14"/>
      <c r="HR107" s="14"/>
      <c r="HS107" s="14"/>
      <c r="HT107" s="14"/>
      <c r="HU107" s="14"/>
      <c r="HV107" s="14"/>
      <c r="HW107" s="14"/>
      <c r="HX107" s="14"/>
      <c r="HY107" s="14"/>
      <c r="HZ107" s="14"/>
      <c r="IA107" s="14"/>
      <c r="IB107" s="14"/>
      <c r="IC107" s="14"/>
      <c r="ID107" s="14"/>
      <c r="IE107" s="14"/>
      <c r="IF107" s="14"/>
      <c r="IG107" s="14"/>
      <c r="IH107" s="14"/>
      <c r="II107" s="14"/>
      <c r="IJ107" s="14"/>
      <c r="IK107" s="14"/>
      <c r="IL107" s="14"/>
      <c r="IM107" s="14"/>
      <c r="IN107" s="14"/>
      <c r="IO107" s="14"/>
      <c r="IP107" s="14"/>
      <c r="IQ107" s="14"/>
      <c r="IR107" s="14"/>
      <c r="IS107" s="14"/>
      <c r="IT107" s="14"/>
      <c r="IU107" s="14"/>
      <c r="IV107" s="14"/>
    </row>
    <row r="108" spans="1:256" s="290" customFormat="1" ht="56.25" customHeight="1" x14ac:dyDescent="0.3">
      <c r="A108" s="401">
        <v>4</v>
      </c>
      <c r="B108" s="402" t="s">
        <v>1459</v>
      </c>
      <c r="C108" s="433" t="s">
        <v>1460</v>
      </c>
      <c r="D108" s="434"/>
      <c r="E108" s="434"/>
      <c r="F108" s="434"/>
      <c r="G108" s="434"/>
      <c r="H108" s="434"/>
      <c r="I108" s="435"/>
      <c r="J108" s="349">
        <f>SUM(J109:J131)</f>
        <v>713816000</v>
      </c>
      <c r="K108" s="39">
        <f t="shared" si="5"/>
        <v>0</v>
      </c>
      <c r="L108" s="261">
        <f t="shared" si="7"/>
        <v>713816000</v>
      </c>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c r="EQ108" s="14"/>
      <c r="ER108" s="14"/>
      <c r="ES108" s="14"/>
      <c r="ET108" s="14"/>
      <c r="EU108" s="14"/>
      <c r="EV108" s="14"/>
      <c r="EW108" s="14"/>
      <c r="EX108" s="14"/>
      <c r="EY108" s="14"/>
      <c r="EZ108" s="14"/>
      <c r="FA108" s="14"/>
      <c r="FB108" s="14"/>
      <c r="FC108" s="14"/>
      <c r="FD108" s="14"/>
      <c r="FE108" s="14"/>
      <c r="FF108" s="14"/>
      <c r="FG108" s="14"/>
      <c r="FH108" s="14"/>
      <c r="FI108" s="14"/>
      <c r="FJ108" s="14"/>
      <c r="FK108" s="14"/>
      <c r="FL108" s="14"/>
      <c r="FM108" s="14"/>
      <c r="FN108" s="14"/>
      <c r="FO108" s="14"/>
      <c r="FP108" s="14"/>
      <c r="FQ108" s="14"/>
      <c r="FR108" s="14"/>
      <c r="FS108" s="14"/>
      <c r="FT108" s="14"/>
      <c r="FU108" s="14"/>
      <c r="FV108" s="14"/>
      <c r="FW108" s="14"/>
      <c r="FX108" s="14"/>
      <c r="FY108" s="14"/>
      <c r="FZ108" s="14"/>
      <c r="GA108" s="14"/>
      <c r="GB108" s="14"/>
      <c r="GC108" s="14"/>
      <c r="GD108" s="14"/>
      <c r="GE108" s="14"/>
      <c r="GF108" s="14"/>
      <c r="GG108" s="14"/>
      <c r="GH108" s="14"/>
      <c r="GI108" s="14"/>
      <c r="GJ108" s="14"/>
      <c r="GK108" s="14"/>
      <c r="GL108" s="14"/>
      <c r="GM108" s="14"/>
      <c r="GN108" s="14"/>
      <c r="GO108" s="14"/>
      <c r="GP108" s="14"/>
      <c r="GQ108" s="14"/>
      <c r="GR108" s="14"/>
      <c r="GS108" s="14"/>
      <c r="GT108" s="14"/>
      <c r="GU108" s="14"/>
      <c r="GV108" s="14"/>
      <c r="GW108" s="14"/>
      <c r="GX108" s="14"/>
      <c r="GY108" s="14"/>
      <c r="GZ108" s="14"/>
      <c r="HA108" s="14"/>
      <c r="HB108" s="14"/>
      <c r="HC108" s="14"/>
      <c r="HD108" s="14"/>
      <c r="HE108" s="14"/>
      <c r="HF108" s="14"/>
      <c r="HG108" s="14"/>
      <c r="HH108" s="14"/>
      <c r="HI108" s="14"/>
      <c r="HJ108" s="14"/>
      <c r="HK108" s="14"/>
      <c r="HL108" s="14"/>
      <c r="HM108" s="14"/>
      <c r="HN108" s="14"/>
      <c r="HO108" s="14"/>
      <c r="HP108" s="14"/>
      <c r="HQ108" s="14"/>
      <c r="HR108" s="14"/>
      <c r="HS108" s="14"/>
      <c r="HT108" s="14"/>
      <c r="HU108" s="14"/>
      <c r="HV108" s="14"/>
      <c r="HW108" s="14"/>
      <c r="HX108" s="14"/>
      <c r="HY108" s="14"/>
      <c r="HZ108" s="14"/>
      <c r="IA108" s="14"/>
      <c r="IB108" s="14"/>
      <c r="IC108" s="14"/>
      <c r="ID108" s="14"/>
      <c r="IE108" s="14"/>
      <c r="IF108" s="14"/>
      <c r="IG108" s="14"/>
      <c r="IH108" s="14"/>
      <c r="II108" s="14"/>
      <c r="IJ108" s="14"/>
      <c r="IK108" s="14"/>
      <c r="IL108" s="14"/>
      <c r="IM108" s="14"/>
      <c r="IN108" s="14"/>
      <c r="IO108" s="14"/>
      <c r="IP108" s="14"/>
      <c r="IQ108" s="14"/>
      <c r="IR108" s="14"/>
      <c r="IS108" s="14"/>
      <c r="IT108" s="14"/>
      <c r="IU108" s="14"/>
      <c r="IV108" s="14"/>
    </row>
    <row r="109" spans="1:256" s="397" customFormat="1" ht="56.25" x14ac:dyDescent="0.3">
      <c r="A109" s="403"/>
      <c r="B109" s="404"/>
      <c r="C109" s="128" t="s">
        <v>1440</v>
      </c>
      <c r="D109" s="277" t="s">
        <v>112</v>
      </c>
      <c r="E109" s="182" t="s">
        <v>828</v>
      </c>
      <c r="F109" s="309">
        <v>29.9</v>
      </c>
      <c r="G109" s="350">
        <v>11100000</v>
      </c>
      <c r="H109" s="351">
        <v>1</v>
      </c>
      <c r="I109" s="352">
        <v>1.4</v>
      </c>
      <c r="J109" s="130">
        <f>ROUND(F109*G109*H109*I109,-3)</f>
        <v>464646000</v>
      </c>
      <c r="K109" s="39">
        <f t="shared" si="5"/>
        <v>464646000</v>
      </c>
      <c r="L109" s="395">
        <f t="shared" si="7"/>
        <v>0</v>
      </c>
      <c r="M109" s="396"/>
      <c r="N109" s="396"/>
      <c r="O109" s="396"/>
      <c r="P109" s="396"/>
      <c r="Q109" s="396"/>
      <c r="R109" s="396"/>
      <c r="S109" s="396"/>
      <c r="T109" s="396"/>
      <c r="U109" s="396"/>
      <c r="V109" s="396"/>
      <c r="W109" s="396"/>
      <c r="X109" s="396"/>
      <c r="Y109" s="396"/>
      <c r="Z109" s="396"/>
      <c r="AA109" s="396"/>
      <c r="AB109" s="396"/>
      <c r="AC109" s="396"/>
      <c r="AD109" s="396"/>
      <c r="AE109" s="396"/>
      <c r="AF109" s="396"/>
      <c r="AG109" s="396"/>
      <c r="AH109" s="396"/>
      <c r="AI109" s="396"/>
      <c r="AJ109" s="396"/>
      <c r="AK109" s="396"/>
      <c r="AL109" s="396"/>
      <c r="AM109" s="396"/>
      <c r="AN109" s="396"/>
      <c r="AO109" s="396"/>
      <c r="AP109" s="396"/>
      <c r="AQ109" s="396"/>
      <c r="AR109" s="396"/>
      <c r="AS109" s="396"/>
      <c r="AT109" s="396"/>
      <c r="AU109" s="396"/>
      <c r="AV109" s="396"/>
      <c r="AW109" s="396"/>
      <c r="AX109" s="396"/>
      <c r="AY109" s="396"/>
      <c r="AZ109" s="396"/>
      <c r="BA109" s="396"/>
      <c r="BB109" s="396"/>
      <c r="BC109" s="396"/>
      <c r="BD109" s="396"/>
      <c r="BE109" s="396"/>
      <c r="BF109" s="396"/>
      <c r="BG109" s="396"/>
      <c r="BH109" s="396"/>
      <c r="BI109" s="396"/>
      <c r="BJ109" s="396"/>
      <c r="BK109" s="396"/>
      <c r="BL109" s="396"/>
      <c r="BM109" s="396"/>
      <c r="BN109" s="396"/>
      <c r="BO109" s="396"/>
      <c r="BP109" s="396"/>
      <c r="BQ109" s="396"/>
      <c r="BR109" s="396"/>
      <c r="BS109" s="396"/>
      <c r="BT109" s="396"/>
      <c r="BU109" s="396"/>
      <c r="BV109" s="396"/>
      <c r="BW109" s="396"/>
      <c r="BX109" s="396"/>
      <c r="BY109" s="396"/>
      <c r="BZ109" s="396"/>
      <c r="CA109" s="396"/>
      <c r="CB109" s="396"/>
      <c r="CC109" s="396"/>
      <c r="CD109" s="396"/>
      <c r="CE109" s="396"/>
      <c r="CF109" s="396"/>
      <c r="CG109" s="396"/>
      <c r="CH109" s="396"/>
      <c r="CI109" s="396"/>
      <c r="CJ109" s="396"/>
      <c r="CK109" s="396"/>
      <c r="CL109" s="396"/>
      <c r="CM109" s="396"/>
      <c r="CN109" s="396"/>
      <c r="CO109" s="396"/>
      <c r="CP109" s="396"/>
      <c r="CQ109" s="396"/>
      <c r="CR109" s="396"/>
      <c r="CS109" s="396"/>
      <c r="CT109" s="396"/>
      <c r="CU109" s="396"/>
      <c r="CV109" s="396"/>
      <c r="CW109" s="396"/>
      <c r="CX109" s="396"/>
      <c r="CY109" s="396"/>
      <c r="CZ109" s="396"/>
      <c r="DA109" s="396"/>
      <c r="DB109" s="396"/>
      <c r="DC109" s="396"/>
      <c r="DD109" s="396"/>
      <c r="DE109" s="396"/>
      <c r="DF109" s="396"/>
      <c r="DG109" s="396"/>
      <c r="DH109" s="396"/>
      <c r="DI109" s="396"/>
      <c r="DJ109" s="396"/>
      <c r="DK109" s="396"/>
      <c r="DL109" s="396"/>
      <c r="DM109" s="396"/>
      <c r="DN109" s="396"/>
      <c r="DO109" s="396"/>
      <c r="DP109" s="396"/>
      <c r="DQ109" s="396"/>
      <c r="DR109" s="396"/>
      <c r="DS109" s="396"/>
      <c r="DT109" s="396"/>
      <c r="DU109" s="396"/>
      <c r="DV109" s="396"/>
      <c r="DW109" s="396"/>
      <c r="DX109" s="396"/>
      <c r="DY109" s="396"/>
      <c r="DZ109" s="396"/>
      <c r="EA109" s="396"/>
      <c r="EB109" s="396"/>
      <c r="EC109" s="396"/>
      <c r="ED109" s="396"/>
      <c r="EE109" s="396"/>
      <c r="EF109" s="396"/>
      <c r="EG109" s="396"/>
      <c r="EH109" s="396"/>
      <c r="EI109" s="396"/>
      <c r="EJ109" s="396"/>
      <c r="EK109" s="396"/>
      <c r="EL109" s="396"/>
      <c r="EM109" s="396"/>
      <c r="EN109" s="396"/>
      <c r="EO109" s="396"/>
      <c r="EP109" s="396"/>
      <c r="EQ109" s="396"/>
      <c r="ER109" s="396"/>
      <c r="ES109" s="396"/>
      <c r="ET109" s="396"/>
      <c r="EU109" s="396"/>
      <c r="EV109" s="396"/>
      <c r="EW109" s="396"/>
      <c r="EX109" s="396"/>
      <c r="EY109" s="396"/>
      <c r="EZ109" s="396"/>
      <c r="FA109" s="396"/>
      <c r="FB109" s="396"/>
      <c r="FC109" s="396"/>
      <c r="FD109" s="396"/>
      <c r="FE109" s="396"/>
      <c r="FF109" s="396"/>
      <c r="FG109" s="396"/>
      <c r="FH109" s="396"/>
      <c r="FI109" s="396"/>
      <c r="FJ109" s="396"/>
      <c r="FK109" s="396"/>
      <c r="FL109" s="396"/>
      <c r="FM109" s="396"/>
      <c r="FN109" s="396"/>
      <c r="FO109" s="396"/>
      <c r="FP109" s="396"/>
      <c r="FQ109" s="396"/>
      <c r="FR109" s="396"/>
      <c r="FS109" s="396"/>
      <c r="FT109" s="396"/>
      <c r="FU109" s="396"/>
      <c r="FV109" s="396"/>
      <c r="FW109" s="396"/>
      <c r="FX109" s="396"/>
      <c r="FY109" s="396"/>
      <c r="FZ109" s="396"/>
      <c r="GA109" s="396"/>
      <c r="GB109" s="396"/>
      <c r="GC109" s="396"/>
      <c r="GD109" s="396"/>
      <c r="GE109" s="396"/>
      <c r="GF109" s="396"/>
      <c r="GG109" s="396"/>
      <c r="GH109" s="396"/>
      <c r="GI109" s="396"/>
      <c r="GJ109" s="396"/>
      <c r="GK109" s="396"/>
      <c r="GL109" s="396"/>
      <c r="GM109" s="396"/>
      <c r="GN109" s="396"/>
      <c r="GO109" s="396"/>
      <c r="GP109" s="396"/>
      <c r="GQ109" s="396"/>
      <c r="GR109" s="396"/>
      <c r="GS109" s="396"/>
      <c r="GT109" s="396"/>
      <c r="GU109" s="396"/>
      <c r="GV109" s="396"/>
      <c r="GW109" s="396"/>
      <c r="GX109" s="396"/>
      <c r="GY109" s="396"/>
      <c r="GZ109" s="396"/>
      <c r="HA109" s="396"/>
      <c r="HB109" s="396"/>
      <c r="HC109" s="396"/>
      <c r="HD109" s="396"/>
      <c r="HE109" s="396"/>
      <c r="HF109" s="396"/>
      <c r="HG109" s="396"/>
      <c r="HH109" s="396"/>
      <c r="HI109" s="396"/>
      <c r="HJ109" s="396"/>
      <c r="HK109" s="396"/>
      <c r="HL109" s="396"/>
      <c r="HM109" s="396"/>
      <c r="HN109" s="396"/>
      <c r="HO109" s="396"/>
      <c r="HP109" s="396"/>
      <c r="HQ109" s="396"/>
      <c r="HR109" s="396"/>
      <c r="HS109" s="396"/>
      <c r="HT109" s="396"/>
      <c r="HU109" s="396"/>
      <c r="HV109" s="396"/>
      <c r="HW109" s="396"/>
      <c r="HX109" s="396"/>
      <c r="HY109" s="396"/>
      <c r="HZ109" s="396"/>
      <c r="IA109" s="396"/>
      <c r="IB109" s="396"/>
      <c r="IC109" s="396"/>
      <c r="ID109" s="396"/>
      <c r="IE109" s="396"/>
      <c r="IF109" s="396"/>
      <c r="IG109" s="396"/>
      <c r="IH109" s="396"/>
      <c r="II109" s="396"/>
      <c r="IJ109" s="396"/>
      <c r="IK109" s="396"/>
      <c r="IL109" s="396"/>
      <c r="IM109" s="396"/>
      <c r="IN109" s="396"/>
      <c r="IO109" s="396"/>
      <c r="IP109" s="396"/>
      <c r="IQ109" s="396"/>
      <c r="IR109" s="396"/>
      <c r="IS109" s="396"/>
      <c r="IT109" s="396"/>
      <c r="IU109" s="396"/>
      <c r="IV109" s="396"/>
    </row>
    <row r="110" spans="1:256" s="397" customFormat="1" ht="85.5" customHeight="1" x14ac:dyDescent="0.3">
      <c r="A110" s="403"/>
      <c r="B110" s="404"/>
      <c r="C110" s="128" t="s">
        <v>1062</v>
      </c>
      <c r="D110" s="277" t="s">
        <v>112</v>
      </c>
      <c r="E110" s="182" t="s">
        <v>828</v>
      </c>
      <c r="F110" s="309">
        <v>7.4</v>
      </c>
      <c r="G110" s="453" t="s">
        <v>1441</v>
      </c>
      <c r="H110" s="453"/>
      <c r="I110" s="454"/>
      <c r="J110" s="398"/>
      <c r="K110" s="39"/>
      <c r="L110" s="395">
        <f t="shared" si="7"/>
        <v>0</v>
      </c>
      <c r="M110" s="396"/>
      <c r="N110" s="396"/>
      <c r="O110" s="396"/>
      <c r="P110" s="396"/>
      <c r="Q110" s="396"/>
      <c r="R110" s="396"/>
      <c r="S110" s="396"/>
      <c r="T110" s="396"/>
      <c r="U110" s="396"/>
      <c r="V110" s="396"/>
      <c r="W110" s="396"/>
      <c r="X110" s="396"/>
      <c r="Y110" s="396"/>
      <c r="Z110" s="396"/>
      <c r="AA110" s="396"/>
      <c r="AB110" s="396"/>
      <c r="AC110" s="396"/>
      <c r="AD110" s="396"/>
      <c r="AE110" s="396"/>
      <c r="AF110" s="396"/>
      <c r="AG110" s="396"/>
      <c r="AH110" s="396"/>
      <c r="AI110" s="396"/>
      <c r="AJ110" s="396"/>
      <c r="AK110" s="396"/>
      <c r="AL110" s="396"/>
      <c r="AM110" s="396"/>
      <c r="AN110" s="396"/>
      <c r="AO110" s="396"/>
      <c r="AP110" s="396"/>
      <c r="AQ110" s="396"/>
      <c r="AR110" s="396"/>
      <c r="AS110" s="396"/>
      <c r="AT110" s="396"/>
      <c r="AU110" s="396"/>
      <c r="AV110" s="396"/>
      <c r="AW110" s="396"/>
      <c r="AX110" s="396"/>
      <c r="AY110" s="396"/>
      <c r="AZ110" s="396"/>
      <c r="BA110" s="396"/>
      <c r="BB110" s="396"/>
      <c r="BC110" s="396"/>
      <c r="BD110" s="396"/>
      <c r="BE110" s="396"/>
      <c r="BF110" s="396"/>
      <c r="BG110" s="396"/>
      <c r="BH110" s="396"/>
      <c r="BI110" s="396"/>
      <c r="BJ110" s="396"/>
      <c r="BK110" s="396"/>
      <c r="BL110" s="396"/>
      <c r="BM110" s="396"/>
      <c r="BN110" s="396"/>
      <c r="BO110" s="396"/>
      <c r="BP110" s="396"/>
      <c r="BQ110" s="396"/>
      <c r="BR110" s="396"/>
      <c r="BS110" s="396"/>
      <c r="BT110" s="396"/>
      <c r="BU110" s="396"/>
      <c r="BV110" s="396"/>
      <c r="BW110" s="396"/>
      <c r="BX110" s="396"/>
      <c r="BY110" s="396"/>
      <c r="BZ110" s="396"/>
      <c r="CA110" s="396"/>
      <c r="CB110" s="396"/>
      <c r="CC110" s="396"/>
      <c r="CD110" s="396"/>
      <c r="CE110" s="396"/>
      <c r="CF110" s="396"/>
      <c r="CG110" s="396"/>
      <c r="CH110" s="396"/>
      <c r="CI110" s="396"/>
      <c r="CJ110" s="396"/>
      <c r="CK110" s="396"/>
      <c r="CL110" s="396"/>
      <c r="CM110" s="396"/>
      <c r="CN110" s="396"/>
      <c r="CO110" s="396"/>
      <c r="CP110" s="396"/>
      <c r="CQ110" s="396"/>
      <c r="CR110" s="396"/>
      <c r="CS110" s="396"/>
      <c r="CT110" s="396"/>
      <c r="CU110" s="396"/>
      <c r="CV110" s="396"/>
      <c r="CW110" s="396"/>
      <c r="CX110" s="396"/>
      <c r="CY110" s="396"/>
      <c r="CZ110" s="396"/>
      <c r="DA110" s="396"/>
      <c r="DB110" s="396"/>
      <c r="DC110" s="396"/>
      <c r="DD110" s="396"/>
      <c r="DE110" s="396"/>
      <c r="DF110" s="396"/>
      <c r="DG110" s="396"/>
      <c r="DH110" s="396"/>
      <c r="DI110" s="396"/>
      <c r="DJ110" s="396"/>
      <c r="DK110" s="396"/>
      <c r="DL110" s="396"/>
      <c r="DM110" s="396"/>
      <c r="DN110" s="396"/>
      <c r="DO110" s="396"/>
      <c r="DP110" s="396"/>
      <c r="DQ110" s="396"/>
      <c r="DR110" s="396"/>
      <c r="DS110" s="396"/>
      <c r="DT110" s="396"/>
      <c r="DU110" s="396"/>
      <c r="DV110" s="396"/>
      <c r="DW110" s="396"/>
      <c r="DX110" s="396"/>
      <c r="DY110" s="396"/>
      <c r="DZ110" s="396"/>
      <c r="EA110" s="396"/>
      <c r="EB110" s="396"/>
      <c r="EC110" s="396"/>
      <c r="ED110" s="396"/>
      <c r="EE110" s="396"/>
      <c r="EF110" s="396"/>
      <c r="EG110" s="396"/>
      <c r="EH110" s="396"/>
      <c r="EI110" s="396"/>
      <c r="EJ110" s="396"/>
      <c r="EK110" s="396"/>
      <c r="EL110" s="396"/>
      <c r="EM110" s="396"/>
      <c r="EN110" s="396"/>
      <c r="EO110" s="396"/>
      <c r="EP110" s="396"/>
      <c r="EQ110" s="396"/>
      <c r="ER110" s="396"/>
      <c r="ES110" s="396"/>
      <c r="ET110" s="396"/>
      <c r="EU110" s="396"/>
      <c r="EV110" s="396"/>
      <c r="EW110" s="396"/>
      <c r="EX110" s="396"/>
      <c r="EY110" s="396"/>
      <c r="EZ110" s="396"/>
      <c r="FA110" s="396"/>
      <c r="FB110" s="396"/>
      <c r="FC110" s="396"/>
      <c r="FD110" s="396"/>
      <c r="FE110" s="396"/>
      <c r="FF110" s="396"/>
      <c r="FG110" s="396"/>
      <c r="FH110" s="396"/>
      <c r="FI110" s="396"/>
      <c r="FJ110" s="396"/>
      <c r="FK110" s="396"/>
      <c r="FL110" s="396"/>
      <c r="FM110" s="396"/>
      <c r="FN110" s="396"/>
      <c r="FO110" s="396"/>
      <c r="FP110" s="396"/>
      <c r="FQ110" s="396"/>
      <c r="FR110" s="396"/>
      <c r="FS110" s="396"/>
      <c r="FT110" s="396"/>
      <c r="FU110" s="396"/>
      <c r="FV110" s="396"/>
      <c r="FW110" s="396"/>
      <c r="FX110" s="396"/>
      <c r="FY110" s="396"/>
      <c r="FZ110" s="396"/>
      <c r="GA110" s="396"/>
      <c r="GB110" s="396"/>
      <c r="GC110" s="396"/>
      <c r="GD110" s="396"/>
      <c r="GE110" s="396"/>
      <c r="GF110" s="396"/>
      <c r="GG110" s="396"/>
      <c r="GH110" s="396"/>
      <c r="GI110" s="396"/>
      <c r="GJ110" s="396"/>
      <c r="GK110" s="396"/>
      <c r="GL110" s="396"/>
      <c r="GM110" s="396"/>
      <c r="GN110" s="396"/>
      <c r="GO110" s="396"/>
      <c r="GP110" s="396"/>
      <c r="GQ110" s="396"/>
      <c r="GR110" s="396"/>
      <c r="GS110" s="396"/>
      <c r="GT110" s="396"/>
      <c r="GU110" s="396"/>
      <c r="GV110" s="396"/>
      <c r="GW110" s="396"/>
      <c r="GX110" s="396"/>
      <c r="GY110" s="396"/>
      <c r="GZ110" s="396"/>
      <c r="HA110" s="396"/>
      <c r="HB110" s="396"/>
      <c r="HC110" s="396"/>
      <c r="HD110" s="396"/>
      <c r="HE110" s="396"/>
      <c r="HF110" s="396"/>
      <c r="HG110" s="396"/>
      <c r="HH110" s="396"/>
      <c r="HI110" s="396"/>
      <c r="HJ110" s="396"/>
      <c r="HK110" s="396"/>
      <c r="HL110" s="396"/>
      <c r="HM110" s="396"/>
      <c r="HN110" s="396"/>
      <c r="HO110" s="396"/>
      <c r="HP110" s="396"/>
      <c r="HQ110" s="396"/>
      <c r="HR110" s="396"/>
      <c r="HS110" s="396"/>
      <c r="HT110" s="396"/>
      <c r="HU110" s="396"/>
      <c r="HV110" s="396"/>
      <c r="HW110" s="396"/>
      <c r="HX110" s="396"/>
      <c r="HY110" s="396"/>
      <c r="HZ110" s="396"/>
      <c r="IA110" s="396"/>
      <c r="IB110" s="396"/>
      <c r="IC110" s="396"/>
      <c r="ID110" s="396"/>
      <c r="IE110" s="396"/>
      <c r="IF110" s="396"/>
      <c r="IG110" s="396"/>
      <c r="IH110" s="396"/>
      <c r="II110" s="396"/>
      <c r="IJ110" s="396"/>
      <c r="IK110" s="396"/>
      <c r="IL110" s="396"/>
      <c r="IM110" s="396"/>
      <c r="IN110" s="396"/>
      <c r="IO110" s="396"/>
      <c r="IP110" s="396"/>
      <c r="IQ110" s="396"/>
      <c r="IR110" s="396"/>
      <c r="IS110" s="396"/>
      <c r="IT110" s="396"/>
      <c r="IU110" s="396"/>
      <c r="IV110" s="396"/>
    </row>
    <row r="111" spans="1:256" s="290" customFormat="1" ht="56.25" x14ac:dyDescent="0.3">
      <c r="A111" s="107"/>
      <c r="B111" s="84"/>
      <c r="C111" s="106" t="s">
        <v>1461</v>
      </c>
      <c r="D111" s="405"/>
      <c r="E111" s="118"/>
      <c r="F111" s="147"/>
      <c r="G111" s="406"/>
      <c r="H111" s="407"/>
      <c r="I111" s="377"/>
      <c r="J111" s="32"/>
      <c r="K111" s="39">
        <f t="shared" si="5"/>
        <v>0</v>
      </c>
      <c r="L111" s="261">
        <f t="shared" si="7"/>
        <v>0</v>
      </c>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c r="IE111" s="14"/>
      <c r="IF111" s="14"/>
      <c r="IG111" s="14"/>
      <c r="IH111" s="14"/>
      <c r="II111" s="14"/>
      <c r="IJ111" s="14"/>
      <c r="IK111" s="14"/>
      <c r="IL111" s="14"/>
      <c r="IM111" s="14"/>
      <c r="IN111" s="14"/>
      <c r="IO111" s="14"/>
      <c r="IP111" s="14"/>
      <c r="IQ111" s="14"/>
      <c r="IR111" s="14"/>
      <c r="IS111" s="14"/>
      <c r="IT111" s="14"/>
      <c r="IU111" s="14"/>
      <c r="IV111" s="14"/>
    </row>
    <row r="112" spans="1:256" s="290" customFormat="1" ht="41.25" customHeight="1" x14ac:dyDescent="0.3">
      <c r="A112" s="69"/>
      <c r="B112" s="8"/>
      <c r="C112" s="82" t="s">
        <v>1462</v>
      </c>
      <c r="D112" s="269" t="s">
        <v>1463</v>
      </c>
      <c r="E112" s="27" t="s">
        <v>23</v>
      </c>
      <c r="F112" s="74">
        <f>4*3</f>
        <v>12</v>
      </c>
      <c r="G112" s="11">
        <v>5339000</v>
      </c>
      <c r="H112" s="355">
        <v>1</v>
      </c>
      <c r="I112" s="377">
        <v>1.1479999999999999</v>
      </c>
      <c r="J112" s="32">
        <f t="shared" ref="J112:J131" si="9">ROUND(F112*G112*H112*I112,-3)</f>
        <v>73550000</v>
      </c>
      <c r="K112" s="39">
        <f t="shared" si="5"/>
        <v>73550000</v>
      </c>
      <c r="L112" s="261">
        <f t="shared" si="7"/>
        <v>0</v>
      </c>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14"/>
      <c r="IC112" s="14"/>
      <c r="ID112" s="14"/>
      <c r="IE112" s="14"/>
      <c r="IF112" s="14"/>
      <c r="IG112" s="14"/>
      <c r="IH112" s="14"/>
      <c r="II112" s="14"/>
      <c r="IJ112" s="14"/>
      <c r="IK112" s="14"/>
      <c r="IL112" s="14"/>
      <c r="IM112" s="14"/>
      <c r="IN112" s="14"/>
      <c r="IO112" s="14"/>
      <c r="IP112" s="14"/>
      <c r="IQ112" s="14"/>
      <c r="IR112" s="14"/>
      <c r="IS112" s="14"/>
      <c r="IT112" s="14"/>
      <c r="IU112" s="14"/>
      <c r="IV112" s="14"/>
    </row>
    <row r="113" spans="1:256" s="290" customFormat="1" ht="41.25" customHeight="1" x14ac:dyDescent="0.3">
      <c r="A113" s="69"/>
      <c r="B113" s="8"/>
      <c r="C113" s="82" t="s">
        <v>1464</v>
      </c>
      <c r="D113" s="269" t="s">
        <v>1463</v>
      </c>
      <c r="E113" s="27" t="s">
        <v>23</v>
      </c>
      <c r="F113" s="74">
        <f>4*3</f>
        <v>12</v>
      </c>
      <c r="G113" s="11">
        <v>5339001</v>
      </c>
      <c r="H113" s="355">
        <v>1</v>
      </c>
      <c r="I113" s="377">
        <v>1.1479999999999999</v>
      </c>
      <c r="J113" s="32">
        <f t="shared" si="9"/>
        <v>73550000</v>
      </c>
      <c r="K113" s="39">
        <f t="shared" si="5"/>
        <v>73550000</v>
      </c>
      <c r="L113" s="261">
        <f t="shared" si="7"/>
        <v>0</v>
      </c>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14"/>
      <c r="IC113" s="14"/>
      <c r="ID113" s="14"/>
      <c r="IE113" s="14"/>
      <c r="IF113" s="14"/>
      <c r="IG113" s="14"/>
      <c r="IH113" s="14"/>
      <c r="II113" s="14"/>
      <c r="IJ113" s="14"/>
      <c r="IK113" s="14"/>
      <c r="IL113" s="14"/>
      <c r="IM113" s="14"/>
      <c r="IN113" s="14"/>
      <c r="IO113" s="14"/>
      <c r="IP113" s="14"/>
      <c r="IQ113" s="14"/>
      <c r="IR113" s="14"/>
      <c r="IS113" s="14"/>
      <c r="IT113" s="14"/>
      <c r="IU113" s="14"/>
      <c r="IV113" s="14"/>
    </row>
    <row r="114" spans="1:256" s="290" customFormat="1" ht="41.25" customHeight="1" x14ac:dyDescent="0.3">
      <c r="A114" s="69"/>
      <c r="B114" s="8"/>
      <c r="C114" s="82" t="s">
        <v>1465</v>
      </c>
      <c r="D114" s="270" t="s">
        <v>562</v>
      </c>
      <c r="E114" s="71" t="s">
        <v>23</v>
      </c>
      <c r="F114" s="74">
        <f>6*4.4</f>
        <v>26.400000000000002</v>
      </c>
      <c r="G114" s="29">
        <v>577000</v>
      </c>
      <c r="H114" s="355">
        <v>1</v>
      </c>
      <c r="I114" s="354">
        <v>1.1479999999999999</v>
      </c>
      <c r="J114" s="32">
        <f t="shared" si="9"/>
        <v>17487000</v>
      </c>
      <c r="K114" s="39">
        <f t="shared" si="5"/>
        <v>17487000</v>
      </c>
      <c r="L114" s="261">
        <f t="shared" si="7"/>
        <v>0</v>
      </c>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14"/>
      <c r="IC114" s="14"/>
      <c r="ID114" s="14"/>
      <c r="IE114" s="14"/>
      <c r="IF114" s="14"/>
      <c r="IG114" s="14"/>
      <c r="IH114" s="14"/>
      <c r="II114" s="14"/>
      <c r="IJ114" s="14"/>
      <c r="IK114" s="14"/>
      <c r="IL114" s="14"/>
      <c r="IM114" s="14"/>
      <c r="IN114" s="14"/>
      <c r="IO114" s="14"/>
      <c r="IP114" s="14"/>
      <c r="IQ114" s="14"/>
      <c r="IR114" s="14"/>
      <c r="IS114" s="14"/>
      <c r="IT114" s="14"/>
      <c r="IU114" s="14"/>
      <c r="IV114" s="14"/>
    </row>
    <row r="115" spans="1:256" s="290" customFormat="1" ht="42" customHeight="1" x14ac:dyDescent="0.3">
      <c r="A115" s="69"/>
      <c r="B115" s="8"/>
      <c r="C115" s="82" t="s">
        <v>1466</v>
      </c>
      <c r="D115" s="270" t="s">
        <v>101</v>
      </c>
      <c r="E115" s="71" t="s">
        <v>23</v>
      </c>
      <c r="F115" s="74">
        <f>5*4.4</f>
        <v>22</v>
      </c>
      <c r="G115" s="29">
        <v>339000</v>
      </c>
      <c r="H115" s="355">
        <v>1</v>
      </c>
      <c r="I115" s="354">
        <v>1.1479999999999999</v>
      </c>
      <c r="J115" s="32">
        <f t="shared" si="9"/>
        <v>8562000</v>
      </c>
      <c r="K115" s="39">
        <f t="shared" si="5"/>
        <v>8562000</v>
      </c>
      <c r="L115" s="261">
        <f t="shared" si="7"/>
        <v>0</v>
      </c>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c r="DQ115" s="14"/>
      <c r="DR115" s="14"/>
      <c r="DS115" s="14"/>
      <c r="DT115" s="14"/>
      <c r="DU115" s="14"/>
      <c r="DV115" s="14"/>
      <c r="DW115" s="14"/>
      <c r="DX115" s="14"/>
      <c r="DY115" s="14"/>
      <c r="DZ115" s="14"/>
      <c r="EA115" s="14"/>
      <c r="EB115" s="14"/>
      <c r="EC115" s="14"/>
      <c r="ED115" s="14"/>
      <c r="EE115" s="14"/>
      <c r="EF115" s="14"/>
      <c r="EG115" s="14"/>
      <c r="EH115" s="14"/>
      <c r="EI115" s="14"/>
      <c r="EJ115" s="14"/>
      <c r="EK115" s="14"/>
      <c r="EL115" s="14"/>
      <c r="EM115" s="14"/>
      <c r="EN115" s="14"/>
      <c r="EO115" s="14"/>
      <c r="EP115" s="14"/>
      <c r="EQ115" s="14"/>
      <c r="ER115" s="14"/>
      <c r="ES115" s="14"/>
      <c r="ET115" s="14"/>
      <c r="EU115" s="14"/>
      <c r="EV115" s="14"/>
      <c r="EW115" s="14"/>
      <c r="EX115" s="14"/>
      <c r="EY115" s="14"/>
      <c r="EZ115" s="14"/>
      <c r="FA115" s="14"/>
      <c r="FB115" s="14"/>
      <c r="FC115" s="14"/>
      <c r="FD115" s="14"/>
      <c r="FE115" s="14"/>
      <c r="FF115" s="14"/>
      <c r="FG115" s="14"/>
      <c r="FH115" s="14"/>
      <c r="FI115" s="14"/>
      <c r="FJ115" s="14"/>
      <c r="FK115" s="14"/>
      <c r="FL115" s="14"/>
      <c r="FM115" s="14"/>
      <c r="FN115" s="14"/>
      <c r="FO115" s="14"/>
      <c r="FP115" s="14"/>
      <c r="FQ115" s="14"/>
      <c r="FR115" s="14"/>
      <c r="FS115" s="14"/>
      <c r="FT115" s="14"/>
      <c r="FU115" s="14"/>
      <c r="FV115" s="14"/>
      <c r="FW115" s="14"/>
      <c r="FX115" s="14"/>
      <c r="FY115" s="14"/>
      <c r="FZ115" s="14"/>
      <c r="GA115" s="14"/>
      <c r="GB115" s="14"/>
      <c r="GC115" s="14"/>
      <c r="GD115" s="14"/>
      <c r="GE115" s="14"/>
      <c r="GF115" s="14"/>
      <c r="GG115" s="14"/>
      <c r="GH115" s="14"/>
      <c r="GI115" s="14"/>
      <c r="GJ115" s="14"/>
      <c r="GK115" s="14"/>
      <c r="GL115" s="14"/>
      <c r="GM115" s="14"/>
      <c r="GN115" s="14"/>
      <c r="GO115" s="14"/>
      <c r="GP115" s="14"/>
      <c r="GQ115" s="14"/>
      <c r="GR115" s="14"/>
      <c r="GS115" s="14"/>
      <c r="GT115" s="14"/>
      <c r="GU115" s="14"/>
      <c r="GV115" s="14"/>
      <c r="GW115" s="14"/>
      <c r="GX115" s="14"/>
      <c r="GY115" s="14"/>
      <c r="GZ115" s="14"/>
      <c r="HA115" s="14"/>
      <c r="HB115" s="14"/>
      <c r="HC115" s="14"/>
      <c r="HD115" s="14"/>
      <c r="HE115" s="14"/>
      <c r="HF115" s="14"/>
      <c r="HG115" s="14"/>
      <c r="HH115" s="14"/>
      <c r="HI115" s="14"/>
      <c r="HJ115" s="14"/>
      <c r="HK115" s="14"/>
      <c r="HL115" s="14"/>
      <c r="HM115" s="14"/>
      <c r="HN115" s="14"/>
      <c r="HO115" s="14"/>
      <c r="HP115" s="14"/>
      <c r="HQ115" s="14"/>
      <c r="HR115" s="14"/>
      <c r="HS115" s="14"/>
      <c r="HT115" s="14"/>
      <c r="HU115" s="14"/>
      <c r="HV115" s="14"/>
      <c r="HW115" s="14"/>
      <c r="HX115" s="14"/>
      <c r="HY115" s="14"/>
      <c r="HZ115" s="14"/>
      <c r="IA115" s="14"/>
      <c r="IB115" s="14"/>
      <c r="IC115" s="14"/>
      <c r="ID115" s="14"/>
      <c r="IE115" s="14"/>
      <c r="IF115" s="14"/>
      <c r="IG115" s="14"/>
      <c r="IH115" s="14"/>
      <c r="II115" s="14"/>
      <c r="IJ115" s="14"/>
      <c r="IK115" s="14"/>
      <c r="IL115" s="14"/>
      <c r="IM115" s="14"/>
      <c r="IN115" s="14"/>
      <c r="IO115" s="14"/>
      <c r="IP115" s="14"/>
      <c r="IQ115" s="14"/>
      <c r="IR115" s="14"/>
      <c r="IS115" s="14"/>
      <c r="IT115" s="14"/>
      <c r="IU115" s="14"/>
      <c r="IV115" s="14"/>
    </row>
    <row r="116" spans="1:256" s="290" customFormat="1" ht="42" customHeight="1" x14ac:dyDescent="0.3">
      <c r="A116" s="69"/>
      <c r="B116" s="8"/>
      <c r="C116" s="82" t="s">
        <v>1467</v>
      </c>
      <c r="D116" s="267" t="s">
        <v>161</v>
      </c>
      <c r="E116" s="71" t="s">
        <v>23</v>
      </c>
      <c r="F116" s="74">
        <f>3.6*3</f>
        <v>10.8</v>
      </c>
      <c r="G116" s="11">
        <v>396000</v>
      </c>
      <c r="H116" s="355">
        <v>1</v>
      </c>
      <c r="I116" s="354">
        <v>1.1479999999999999</v>
      </c>
      <c r="J116" s="32">
        <f t="shared" si="9"/>
        <v>4910000</v>
      </c>
      <c r="K116" s="39">
        <f t="shared" si="5"/>
        <v>4910000</v>
      </c>
      <c r="L116" s="261">
        <f t="shared" si="7"/>
        <v>0</v>
      </c>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4"/>
      <c r="EV116" s="14"/>
      <c r="EW116" s="14"/>
      <c r="EX116" s="14"/>
      <c r="EY116" s="14"/>
      <c r="EZ116" s="14"/>
      <c r="FA116" s="14"/>
      <c r="FB116" s="14"/>
      <c r="FC116" s="14"/>
      <c r="FD116" s="14"/>
      <c r="FE116" s="14"/>
      <c r="FF116" s="14"/>
      <c r="FG116" s="14"/>
      <c r="FH116" s="14"/>
      <c r="FI116" s="14"/>
      <c r="FJ116" s="14"/>
      <c r="FK116" s="14"/>
      <c r="FL116" s="14"/>
      <c r="FM116" s="14"/>
      <c r="FN116" s="14"/>
      <c r="FO116" s="14"/>
      <c r="FP116" s="14"/>
      <c r="FQ116" s="14"/>
      <c r="FR116" s="14"/>
      <c r="FS116" s="14"/>
      <c r="FT116" s="14"/>
      <c r="FU116" s="14"/>
      <c r="FV116" s="14"/>
      <c r="FW116" s="14"/>
      <c r="FX116" s="14"/>
      <c r="FY116" s="14"/>
      <c r="FZ116" s="14"/>
      <c r="GA116" s="14"/>
      <c r="GB116" s="14"/>
      <c r="GC116" s="14"/>
      <c r="GD116" s="14"/>
      <c r="GE116" s="14"/>
      <c r="GF116" s="14"/>
      <c r="GG116" s="14"/>
      <c r="GH116" s="14"/>
      <c r="GI116" s="14"/>
      <c r="GJ116" s="14"/>
      <c r="GK116" s="14"/>
      <c r="GL116" s="14"/>
      <c r="GM116" s="14"/>
      <c r="GN116" s="14"/>
      <c r="GO116" s="14"/>
      <c r="GP116" s="14"/>
      <c r="GQ116" s="14"/>
      <c r="GR116" s="14"/>
      <c r="GS116" s="14"/>
      <c r="GT116" s="14"/>
      <c r="GU116" s="14"/>
      <c r="GV116" s="14"/>
      <c r="GW116" s="14"/>
      <c r="GX116" s="14"/>
      <c r="GY116" s="14"/>
      <c r="GZ116" s="14"/>
      <c r="HA116" s="14"/>
      <c r="HB116" s="14"/>
      <c r="HC116" s="14"/>
      <c r="HD116" s="14"/>
      <c r="HE116" s="14"/>
      <c r="HF116" s="14"/>
      <c r="HG116" s="14"/>
      <c r="HH116" s="14"/>
      <c r="HI116" s="14"/>
      <c r="HJ116" s="14"/>
      <c r="HK116" s="14"/>
      <c r="HL116" s="14"/>
      <c r="HM116" s="14"/>
      <c r="HN116" s="14"/>
      <c r="HO116" s="14"/>
      <c r="HP116" s="14"/>
      <c r="HQ116" s="14"/>
      <c r="HR116" s="14"/>
      <c r="HS116" s="14"/>
      <c r="HT116" s="14"/>
      <c r="HU116" s="14"/>
      <c r="HV116" s="14"/>
      <c r="HW116" s="14"/>
      <c r="HX116" s="14"/>
      <c r="HY116" s="14"/>
      <c r="HZ116" s="14"/>
      <c r="IA116" s="14"/>
      <c r="IB116" s="14"/>
      <c r="IC116" s="14"/>
      <c r="ID116" s="14"/>
      <c r="IE116" s="14"/>
      <c r="IF116" s="14"/>
      <c r="IG116" s="14"/>
      <c r="IH116" s="14"/>
      <c r="II116" s="14"/>
      <c r="IJ116" s="14"/>
      <c r="IK116" s="14"/>
      <c r="IL116" s="14"/>
      <c r="IM116" s="14"/>
      <c r="IN116" s="14"/>
      <c r="IO116" s="14"/>
      <c r="IP116" s="14"/>
      <c r="IQ116" s="14"/>
      <c r="IR116" s="14"/>
      <c r="IS116" s="14"/>
      <c r="IT116" s="14"/>
      <c r="IU116" s="14"/>
      <c r="IV116" s="14"/>
    </row>
    <row r="117" spans="1:256" s="290" customFormat="1" ht="56.25" x14ac:dyDescent="0.3">
      <c r="A117" s="69"/>
      <c r="B117" s="8"/>
      <c r="C117" s="82" t="s">
        <v>1468</v>
      </c>
      <c r="D117" s="270" t="s">
        <v>66</v>
      </c>
      <c r="E117" s="71" t="s">
        <v>23</v>
      </c>
      <c r="F117" s="74">
        <f>0.15*8.1+2.3*3.6+2.7*0.6+3.8*1.2+10.6*0.12</f>
        <v>16.946999999999996</v>
      </c>
      <c r="G117" s="29">
        <v>339000</v>
      </c>
      <c r="H117" s="355">
        <v>1</v>
      </c>
      <c r="I117" s="354">
        <v>1.1479999999999999</v>
      </c>
      <c r="J117" s="32">
        <f t="shared" si="9"/>
        <v>6595000</v>
      </c>
      <c r="K117" s="39">
        <f t="shared" si="5"/>
        <v>6595000</v>
      </c>
      <c r="L117" s="261">
        <f t="shared" si="7"/>
        <v>0</v>
      </c>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c r="DQ117" s="14"/>
      <c r="DR117" s="14"/>
      <c r="DS117" s="14"/>
      <c r="DT117" s="14"/>
      <c r="DU117" s="14"/>
      <c r="DV117" s="14"/>
      <c r="DW117" s="14"/>
      <c r="DX117" s="14"/>
      <c r="DY117" s="14"/>
      <c r="DZ117" s="14"/>
      <c r="EA117" s="14"/>
      <c r="EB117" s="14"/>
      <c r="EC117" s="14"/>
      <c r="ED117" s="14"/>
      <c r="EE117" s="14"/>
      <c r="EF117" s="14"/>
      <c r="EG117" s="14"/>
      <c r="EH117" s="14"/>
      <c r="EI117" s="14"/>
      <c r="EJ117" s="14"/>
      <c r="EK117" s="14"/>
      <c r="EL117" s="14"/>
      <c r="EM117" s="14"/>
      <c r="EN117" s="14"/>
      <c r="EO117" s="14"/>
      <c r="EP117" s="14"/>
      <c r="EQ117" s="14"/>
      <c r="ER117" s="14"/>
      <c r="ES117" s="14"/>
      <c r="ET117" s="14"/>
      <c r="EU117" s="14"/>
      <c r="EV117" s="14"/>
      <c r="EW117" s="14"/>
      <c r="EX117" s="14"/>
      <c r="EY117" s="14"/>
      <c r="EZ117" s="14"/>
      <c r="FA117" s="14"/>
      <c r="FB117" s="14"/>
      <c r="FC117" s="14"/>
      <c r="FD117" s="14"/>
      <c r="FE117" s="14"/>
      <c r="FF117" s="14"/>
      <c r="FG117" s="14"/>
      <c r="FH117" s="14"/>
      <c r="FI117" s="14"/>
      <c r="FJ117" s="14"/>
      <c r="FK117" s="14"/>
      <c r="FL117" s="14"/>
      <c r="FM117" s="14"/>
      <c r="FN117" s="14"/>
      <c r="FO117" s="14"/>
      <c r="FP117" s="14"/>
      <c r="FQ117" s="14"/>
      <c r="FR117" s="14"/>
      <c r="FS117" s="14"/>
      <c r="FT117" s="14"/>
      <c r="FU117" s="14"/>
      <c r="FV117" s="14"/>
      <c r="FW117" s="14"/>
      <c r="FX117" s="14"/>
      <c r="FY117" s="14"/>
      <c r="FZ117" s="14"/>
      <c r="GA117" s="14"/>
      <c r="GB117" s="14"/>
      <c r="GC117" s="14"/>
      <c r="GD117" s="14"/>
      <c r="GE117" s="14"/>
      <c r="GF117" s="14"/>
      <c r="GG117" s="14"/>
      <c r="GH117" s="14"/>
      <c r="GI117" s="14"/>
      <c r="GJ117" s="14"/>
      <c r="GK117" s="14"/>
      <c r="GL117" s="14"/>
      <c r="GM117" s="14"/>
      <c r="GN117" s="14"/>
      <c r="GO117" s="14"/>
      <c r="GP117" s="14"/>
      <c r="GQ117" s="14"/>
      <c r="GR117" s="14"/>
      <c r="GS117" s="14"/>
      <c r="GT117" s="14"/>
      <c r="GU117" s="14"/>
      <c r="GV117" s="14"/>
      <c r="GW117" s="14"/>
      <c r="GX117" s="14"/>
      <c r="GY117" s="14"/>
      <c r="GZ117" s="14"/>
      <c r="HA117" s="14"/>
      <c r="HB117" s="14"/>
      <c r="HC117" s="14"/>
      <c r="HD117" s="14"/>
      <c r="HE117" s="14"/>
      <c r="HF117" s="14"/>
      <c r="HG117" s="14"/>
      <c r="HH117" s="14"/>
      <c r="HI117" s="14"/>
      <c r="HJ117" s="14"/>
      <c r="HK117" s="14"/>
      <c r="HL117" s="14"/>
      <c r="HM117" s="14"/>
      <c r="HN117" s="14"/>
      <c r="HO117" s="14"/>
      <c r="HP117" s="14"/>
      <c r="HQ117" s="14"/>
      <c r="HR117" s="14"/>
      <c r="HS117" s="14"/>
      <c r="HT117" s="14"/>
      <c r="HU117" s="14"/>
      <c r="HV117" s="14"/>
      <c r="HW117" s="14"/>
      <c r="HX117" s="14"/>
      <c r="HY117" s="14"/>
      <c r="HZ117" s="14"/>
      <c r="IA117" s="14"/>
      <c r="IB117" s="14"/>
      <c r="IC117" s="14"/>
      <c r="ID117" s="14"/>
      <c r="IE117" s="14"/>
      <c r="IF117" s="14"/>
      <c r="IG117" s="14"/>
      <c r="IH117" s="14"/>
      <c r="II117" s="14"/>
      <c r="IJ117" s="14"/>
      <c r="IK117" s="14"/>
      <c r="IL117" s="14"/>
      <c r="IM117" s="14"/>
      <c r="IN117" s="14"/>
      <c r="IO117" s="14"/>
      <c r="IP117" s="14"/>
      <c r="IQ117" s="14"/>
      <c r="IR117" s="14"/>
      <c r="IS117" s="14"/>
      <c r="IT117" s="14"/>
      <c r="IU117" s="14"/>
      <c r="IV117" s="14"/>
    </row>
    <row r="118" spans="1:256" s="290" customFormat="1" ht="42" customHeight="1" x14ac:dyDescent="0.3">
      <c r="A118" s="69"/>
      <c r="B118" s="8"/>
      <c r="C118" s="82" t="s">
        <v>1469</v>
      </c>
      <c r="D118" s="270" t="s">
        <v>29</v>
      </c>
      <c r="E118" s="96" t="s">
        <v>91</v>
      </c>
      <c r="F118" s="74">
        <f>3.5*1.9</f>
        <v>6.6499999999999995</v>
      </c>
      <c r="G118" s="29">
        <v>792000</v>
      </c>
      <c r="H118" s="355">
        <v>1</v>
      </c>
      <c r="I118" s="151">
        <v>1.1479999999999999</v>
      </c>
      <c r="J118" s="32">
        <f t="shared" si="9"/>
        <v>6046000</v>
      </c>
      <c r="K118" s="39">
        <f t="shared" si="5"/>
        <v>6046000</v>
      </c>
      <c r="L118" s="261">
        <f t="shared" si="7"/>
        <v>0</v>
      </c>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c r="DQ118" s="14"/>
      <c r="DR118" s="14"/>
      <c r="DS118" s="14"/>
      <c r="DT118" s="14"/>
      <c r="DU118" s="14"/>
      <c r="DV118" s="14"/>
      <c r="DW118" s="14"/>
      <c r="DX118" s="14"/>
      <c r="DY118" s="14"/>
      <c r="DZ118" s="14"/>
      <c r="EA118" s="14"/>
      <c r="EB118" s="14"/>
      <c r="EC118" s="14"/>
      <c r="ED118" s="14"/>
      <c r="EE118" s="14"/>
      <c r="EF118" s="14"/>
      <c r="EG118" s="14"/>
      <c r="EH118" s="14"/>
      <c r="EI118" s="14"/>
      <c r="EJ118" s="14"/>
      <c r="EK118" s="14"/>
      <c r="EL118" s="14"/>
      <c r="EM118" s="14"/>
      <c r="EN118" s="14"/>
      <c r="EO118" s="14"/>
      <c r="EP118" s="14"/>
      <c r="EQ118" s="14"/>
      <c r="ER118" s="14"/>
      <c r="ES118" s="14"/>
      <c r="ET118" s="14"/>
      <c r="EU118" s="14"/>
      <c r="EV118" s="14"/>
      <c r="EW118" s="14"/>
      <c r="EX118" s="14"/>
      <c r="EY118" s="14"/>
      <c r="EZ118" s="14"/>
      <c r="FA118" s="14"/>
      <c r="FB118" s="14"/>
      <c r="FC118" s="14"/>
      <c r="FD118" s="14"/>
      <c r="FE118" s="14"/>
      <c r="FF118" s="14"/>
      <c r="FG118" s="14"/>
      <c r="FH118" s="14"/>
      <c r="FI118" s="14"/>
      <c r="FJ118" s="14"/>
      <c r="FK118" s="14"/>
      <c r="FL118" s="14"/>
      <c r="FM118" s="14"/>
      <c r="FN118" s="14"/>
      <c r="FO118" s="14"/>
      <c r="FP118" s="14"/>
      <c r="FQ118" s="14"/>
      <c r="FR118" s="14"/>
      <c r="FS118" s="14"/>
      <c r="FT118" s="14"/>
      <c r="FU118" s="14"/>
      <c r="FV118" s="14"/>
      <c r="FW118" s="14"/>
      <c r="FX118" s="14"/>
      <c r="FY118" s="14"/>
      <c r="FZ118" s="14"/>
      <c r="GA118" s="14"/>
      <c r="GB118" s="14"/>
      <c r="GC118" s="14"/>
      <c r="GD118" s="14"/>
      <c r="GE118" s="14"/>
      <c r="GF118" s="14"/>
      <c r="GG118" s="14"/>
      <c r="GH118" s="14"/>
      <c r="GI118" s="14"/>
      <c r="GJ118" s="14"/>
      <c r="GK118" s="14"/>
      <c r="GL118" s="14"/>
      <c r="GM118" s="14"/>
      <c r="GN118" s="14"/>
      <c r="GO118" s="14"/>
      <c r="GP118" s="14"/>
      <c r="GQ118" s="14"/>
      <c r="GR118" s="14"/>
      <c r="GS118" s="14"/>
      <c r="GT118" s="14"/>
      <c r="GU118" s="14"/>
      <c r="GV118" s="14"/>
      <c r="GW118" s="14"/>
      <c r="GX118" s="14"/>
      <c r="GY118" s="14"/>
      <c r="GZ118" s="14"/>
      <c r="HA118" s="14"/>
      <c r="HB118" s="14"/>
      <c r="HC118" s="14"/>
      <c r="HD118" s="14"/>
      <c r="HE118" s="14"/>
      <c r="HF118" s="14"/>
      <c r="HG118" s="14"/>
      <c r="HH118" s="14"/>
      <c r="HI118" s="14"/>
      <c r="HJ118" s="14"/>
      <c r="HK118" s="14"/>
      <c r="HL118" s="14"/>
      <c r="HM118" s="14"/>
      <c r="HN118" s="14"/>
      <c r="HO118" s="14"/>
      <c r="HP118" s="14"/>
      <c r="HQ118" s="14"/>
      <c r="HR118" s="14"/>
      <c r="HS118" s="14"/>
      <c r="HT118" s="14"/>
      <c r="HU118" s="14"/>
      <c r="HV118" s="14"/>
      <c r="HW118" s="14"/>
      <c r="HX118" s="14"/>
      <c r="HY118" s="14"/>
      <c r="HZ118" s="14"/>
      <c r="IA118" s="14"/>
      <c r="IB118" s="14"/>
      <c r="IC118" s="14"/>
      <c r="ID118" s="14"/>
      <c r="IE118" s="14"/>
      <c r="IF118" s="14"/>
      <c r="IG118" s="14"/>
      <c r="IH118" s="14"/>
      <c r="II118" s="14"/>
      <c r="IJ118" s="14"/>
      <c r="IK118" s="14"/>
      <c r="IL118" s="14"/>
      <c r="IM118" s="14"/>
      <c r="IN118" s="14"/>
      <c r="IO118" s="14"/>
      <c r="IP118" s="14"/>
      <c r="IQ118" s="14"/>
      <c r="IR118" s="14"/>
      <c r="IS118" s="14"/>
      <c r="IT118" s="14"/>
      <c r="IU118" s="14"/>
      <c r="IV118" s="14"/>
    </row>
    <row r="119" spans="1:256" s="290" customFormat="1" ht="42" customHeight="1" x14ac:dyDescent="0.3">
      <c r="A119" s="69"/>
      <c r="B119" s="8"/>
      <c r="C119" s="82" t="s">
        <v>1470</v>
      </c>
      <c r="D119" s="269" t="s">
        <v>1471</v>
      </c>
      <c r="E119" s="96" t="s">
        <v>91</v>
      </c>
      <c r="F119" s="74">
        <f>3*0.3</f>
        <v>0.89999999999999991</v>
      </c>
      <c r="G119" s="11">
        <v>453000</v>
      </c>
      <c r="H119" s="355">
        <v>1</v>
      </c>
      <c r="I119" s="354">
        <v>1.1479999999999999</v>
      </c>
      <c r="J119" s="32">
        <f t="shared" si="9"/>
        <v>468000</v>
      </c>
      <c r="K119" s="39">
        <f t="shared" si="5"/>
        <v>468000</v>
      </c>
      <c r="L119" s="261">
        <f t="shared" si="7"/>
        <v>0</v>
      </c>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c r="DQ119" s="14"/>
      <c r="DR119" s="14"/>
      <c r="DS119" s="14"/>
      <c r="DT119" s="14"/>
      <c r="DU119" s="14"/>
      <c r="DV119" s="14"/>
      <c r="DW119" s="14"/>
      <c r="DX119" s="14"/>
      <c r="DY119" s="14"/>
      <c r="DZ119" s="14"/>
      <c r="EA119" s="14"/>
      <c r="EB119" s="14"/>
      <c r="EC119" s="14"/>
      <c r="ED119" s="14"/>
      <c r="EE119" s="14"/>
      <c r="EF119" s="14"/>
      <c r="EG119" s="14"/>
      <c r="EH119" s="14"/>
      <c r="EI119" s="14"/>
      <c r="EJ119" s="14"/>
      <c r="EK119" s="14"/>
      <c r="EL119" s="14"/>
      <c r="EM119" s="14"/>
      <c r="EN119" s="14"/>
      <c r="EO119" s="14"/>
      <c r="EP119" s="14"/>
      <c r="EQ119" s="14"/>
      <c r="ER119" s="14"/>
      <c r="ES119" s="14"/>
      <c r="ET119" s="14"/>
      <c r="EU119" s="14"/>
      <c r="EV119" s="14"/>
      <c r="EW119" s="14"/>
      <c r="EX119" s="14"/>
      <c r="EY119" s="14"/>
      <c r="EZ119" s="14"/>
      <c r="FA119" s="14"/>
      <c r="FB119" s="14"/>
      <c r="FC119" s="14"/>
      <c r="FD119" s="14"/>
      <c r="FE119" s="14"/>
      <c r="FF119" s="14"/>
      <c r="FG119" s="14"/>
      <c r="FH119" s="14"/>
      <c r="FI119" s="14"/>
      <c r="FJ119" s="14"/>
      <c r="FK119" s="14"/>
      <c r="FL119" s="14"/>
      <c r="FM119" s="14"/>
      <c r="FN119" s="14"/>
      <c r="FO119" s="14"/>
      <c r="FP119" s="14"/>
      <c r="FQ119" s="14"/>
      <c r="FR119" s="14"/>
      <c r="FS119" s="14"/>
      <c r="FT119" s="14"/>
      <c r="FU119" s="14"/>
      <c r="FV119" s="14"/>
      <c r="FW119" s="14"/>
      <c r="FX119" s="14"/>
      <c r="FY119" s="14"/>
      <c r="FZ119" s="14"/>
      <c r="GA119" s="14"/>
      <c r="GB119" s="14"/>
      <c r="GC119" s="14"/>
      <c r="GD119" s="14"/>
      <c r="GE119" s="14"/>
      <c r="GF119" s="14"/>
      <c r="GG119" s="14"/>
      <c r="GH119" s="14"/>
      <c r="GI119" s="14"/>
      <c r="GJ119" s="14"/>
      <c r="GK119" s="14"/>
      <c r="GL119" s="14"/>
      <c r="GM119" s="14"/>
      <c r="GN119" s="14"/>
      <c r="GO119" s="14"/>
      <c r="GP119" s="14"/>
      <c r="GQ119" s="14"/>
      <c r="GR119" s="14"/>
      <c r="GS119" s="14"/>
      <c r="GT119" s="14"/>
      <c r="GU119" s="14"/>
      <c r="GV119" s="14"/>
      <c r="GW119" s="14"/>
      <c r="GX119" s="14"/>
      <c r="GY119" s="14"/>
      <c r="GZ119" s="14"/>
      <c r="HA119" s="14"/>
      <c r="HB119" s="14"/>
      <c r="HC119" s="14"/>
      <c r="HD119" s="14"/>
      <c r="HE119" s="14"/>
      <c r="HF119" s="14"/>
      <c r="HG119" s="14"/>
      <c r="HH119" s="14"/>
      <c r="HI119" s="14"/>
      <c r="HJ119" s="14"/>
      <c r="HK119" s="14"/>
      <c r="HL119" s="14"/>
      <c r="HM119" s="14"/>
      <c r="HN119" s="14"/>
      <c r="HO119" s="14"/>
      <c r="HP119" s="14"/>
      <c r="HQ119" s="14"/>
      <c r="HR119" s="14"/>
      <c r="HS119" s="14"/>
      <c r="HT119" s="14"/>
      <c r="HU119" s="14"/>
      <c r="HV119" s="14"/>
      <c r="HW119" s="14"/>
      <c r="HX119" s="14"/>
      <c r="HY119" s="14"/>
      <c r="HZ119" s="14"/>
      <c r="IA119" s="14"/>
      <c r="IB119" s="14"/>
      <c r="IC119" s="14"/>
      <c r="ID119" s="14"/>
      <c r="IE119" s="14"/>
      <c r="IF119" s="14"/>
      <c r="IG119" s="14"/>
      <c r="IH119" s="14"/>
      <c r="II119" s="14"/>
      <c r="IJ119" s="14"/>
      <c r="IK119" s="14"/>
      <c r="IL119" s="14"/>
      <c r="IM119" s="14"/>
      <c r="IN119" s="14"/>
      <c r="IO119" s="14"/>
      <c r="IP119" s="14"/>
      <c r="IQ119" s="14"/>
      <c r="IR119" s="14"/>
      <c r="IS119" s="14"/>
      <c r="IT119" s="14"/>
      <c r="IU119" s="14"/>
      <c r="IV119" s="14"/>
    </row>
    <row r="120" spans="1:256" s="290" customFormat="1" ht="38.25" x14ac:dyDescent="0.3">
      <c r="A120" s="69"/>
      <c r="B120" s="8"/>
      <c r="C120" s="82" t="s">
        <v>1472</v>
      </c>
      <c r="D120" s="267" t="s">
        <v>56</v>
      </c>
      <c r="E120" s="71" t="s">
        <v>23</v>
      </c>
      <c r="F120" s="74">
        <f>4.9*3.6</f>
        <v>17.64</v>
      </c>
      <c r="G120" s="29">
        <v>735000</v>
      </c>
      <c r="H120" s="355">
        <v>1</v>
      </c>
      <c r="I120" s="408">
        <v>1.1479999999999999</v>
      </c>
      <c r="J120" s="32">
        <f t="shared" si="9"/>
        <v>14884000</v>
      </c>
      <c r="K120" s="39">
        <f t="shared" si="5"/>
        <v>14884000</v>
      </c>
      <c r="L120" s="261">
        <f t="shared" si="7"/>
        <v>0</v>
      </c>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4"/>
      <c r="ER120" s="14"/>
      <c r="ES120" s="14"/>
      <c r="ET120" s="14"/>
      <c r="EU120" s="14"/>
      <c r="EV120" s="14"/>
      <c r="EW120" s="14"/>
      <c r="EX120" s="14"/>
      <c r="EY120" s="14"/>
      <c r="EZ120" s="14"/>
      <c r="FA120" s="14"/>
      <c r="FB120" s="14"/>
      <c r="FC120" s="14"/>
      <c r="FD120" s="14"/>
      <c r="FE120" s="14"/>
      <c r="FF120" s="14"/>
      <c r="FG120" s="14"/>
      <c r="FH120" s="14"/>
      <c r="FI120" s="14"/>
      <c r="FJ120" s="14"/>
      <c r="FK120" s="14"/>
      <c r="FL120" s="14"/>
      <c r="FM120" s="14"/>
      <c r="FN120" s="14"/>
      <c r="FO120" s="14"/>
      <c r="FP120" s="14"/>
      <c r="FQ120" s="14"/>
      <c r="FR120" s="14"/>
      <c r="FS120" s="14"/>
      <c r="FT120" s="14"/>
      <c r="FU120" s="14"/>
      <c r="FV120" s="14"/>
      <c r="FW120" s="14"/>
      <c r="FX120" s="14"/>
      <c r="FY120" s="14"/>
      <c r="FZ120" s="14"/>
      <c r="GA120" s="14"/>
      <c r="GB120" s="14"/>
      <c r="GC120" s="14"/>
      <c r="GD120" s="14"/>
      <c r="GE120" s="14"/>
      <c r="GF120" s="14"/>
      <c r="GG120" s="14"/>
      <c r="GH120" s="14"/>
      <c r="GI120" s="14"/>
      <c r="GJ120" s="14"/>
      <c r="GK120" s="14"/>
      <c r="GL120" s="14"/>
      <c r="GM120" s="14"/>
      <c r="GN120" s="14"/>
      <c r="GO120" s="14"/>
      <c r="GP120" s="14"/>
      <c r="GQ120" s="14"/>
      <c r="GR120" s="14"/>
      <c r="GS120" s="14"/>
      <c r="GT120" s="14"/>
      <c r="GU120" s="14"/>
      <c r="GV120" s="14"/>
      <c r="GW120" s="14"/>
      <c r="GX120" s="14"/>
      <c r="GY120" s="14"/>
      <c r="GZ120" s="14"/>
      <c r="HA120" s="14"/>
      <c r="HB120" s="14"/>
      <c r="HC120" s="14"/>
      <c r="HD120" s="14"/>
      <c r="HE120" s="14"/>
      <c r="HF120" s="14"/>
      <c r="HG120" s="14"/>
      <c r="HH120" s="14"/>
      <c r="HI120" s="14"/>
      <c r="HJ120" s="14"/>
      <c r="HK120" s="14"/>
      <c r="HL120" s="14"/>
      <c r="HM120" s="14"/>
      <c r="HN120" s="14"/>
      <c r="HO120" s="14"/>
      <c r="HP120" s="14"/>
      <c r="HQ120" s="14"/>
      <c r="HR120" s="14"/>
      <c r="HS120" s="14"/>
      <c r="HT120" s="14"/>
      <c r="HU120" s="14"/>
      <c r="HV120" s="14"/>
      <c r="HW120" s="14"/>
      <c r="HX120" s="14"/>
      <c r="HY120" s="14"/>
      <c r="HZ120" s="14"/>
      <c r="IA120" s="14"/>
      <c r="IB120" s="14"/>
      <c r="IC120" s="14"/>
      <c r="ID120" s="14"/>
      <c r="IE120" s="14"/>
      <c r="IF120" s="14"/>
      <c r="IG120" s="14"/>
      <c r="IH120" s="14"/>
      <c r="II120" s="14"/>
      <c r="IJ120" s="14"/>
      <c r="IK120" s="14"/>
      <c r="IL120" s="14"/>
      <c r="IM120" s="14"/>
      <c r="IN120" s="14"/>
      <c r="IO120" s="14"/>
      <c r="IP120" s="14"/>
      <c r="IQ120" s="14"/>
      <c r="IR120" s="14"/>
      <c r="IS120" s="14"/>
      <c r="IT120" s="14"/>
      <c r="IU120" s="14"/>
      <c r="IV120" s="14"/>
    </row>
    <row r="121" spans="1:256" s="290" customFormat="1" ht="43.5" customHeight="1" x14ac:dyDescent="0.3">
      <c r="A121" s="69"/>
      <c r="B121" s="8"/>
      <c r="C121" s="82" t="s">
        <v>1473</v>
      </c>
      <c r="D121" s="269" t="s">
        <v>1474</v>
      </c>
      <c r="E121" s="96" t="s">
        <v>91</v>
      </c>
      <c r="F121" s="74">
        <f>1.2*4</f>
        <v>4.8</v>
      </c>
      <c r="G121" s="11">
        <v>4735000</v>
      </c>
      <c r="H121" s="355">
        <v>1</v>
      </c>
      <c r="I121" s="354">
        <v>1.1479999999999999</v>
      </c>
      <c r="J121" s="32">
        <f t="shared" si="9"/>
        <v>26092000</v>
      </c>
      <c r="K121" s="39">
        <f t="shared" si="5"/>
        <v>26092000</v>
      </c>
      <c r="L121" s="261">
        <f t="shared" si="7"/>
        <v>0</v>
      </c>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c r="GU121" s="14"/>
      <c r="GV121" s="14"/>
      <c r="GW121" s="14"/>
      <c r="GX121" s="14"/>
      <c r="GY121" s="14"/>
      <c r="GZ121" s="14"/>
      <c r="HA121" s="14"/>
      <c r="HB121" s="14"/>
      <c r="HC121" s="14"/>
      <c r="HD121" s="14"/>
      <c r="HE121" s="14"/>
      <c r="HF121" s="14"/>
      <c r="HG121" s="14"/>
      <c r="HH121" s="14"/>
      <c r="HI121" s="14"/>
      <c r="HJ121" s="14"/>
      <c r="HK121" s="14"/>
      <c r="HL121" s="14"/>
      <c r="HM121" s="14"/>
      <c r="HN121" s="14"/>
      <c r="HO121" s="14"/>
      <c r="HP121" s="14"/>
      <c r="HQ121" s="14"/>
      <c r="HR121" s="14"/>
      <c r="HS121" s="14"/>
      <c r="HT121" s="14"/>
      <c r="HU121" s="14"/>
      <c r="HV121" s="14"/>
      <c r="HW121" s="14"/>
      <c r="HX121" s="14"/>
      <c r="HY121" s="14"/>
      <c r="HZ121" s="14"/>
      <c r="IA121" s="14"/>
      <c r="IB121" s="14"/>
      <c r="IC121" s="14"/>
      <c r="ID121" s="14"/>
      <c r="IE121" s="14"/>
      <c r="IF121" s="14"/>
      <c r="IG121" s="14"/>
      <c r="IH121" s="14"/>
      <c r="II121" s="14"/>
      <c r="IJ121" s="14"/>
      <c r="IK121" s="14"/>
      <c r="IL121" s="14"/>
      <c r="IM121" s="14"/>
      <c r="IN121" s="14"/>
      <c r="IO121" s="14"/>
      <c r="IP121" s="14"/>
      <c r="IQ121" s="14"/>
      <c r="IR121" s="14"/>
      <c r="IS121" s="14"/>
      <c r="IT121" s="14"/>
      <c r="IU121" s="14"/>
      <c r="IV121" s="14"/>
    </row>
    <row r="122" spans="1:256" s="290" customFormat="1" ht="36.75" customHeight="1" x14ac:dyDescent="0.3">
      <c r="A122" s="69"/>
      <c r="B122" s="8"/>
      <c r="C122" s="82" t="s">
        <v>1475</v>
      </c>
      <c r="D122" s="271" t="s">
        <v>32</v>
      </c>
      <c r="E122" s="71" t="s">
        <v>23</v>
      </c>
      <c r="F122" s="74">
        <f>6*4.4</f>
        <v>26.400000000000002</v>
      </c>
      <c r="G122" s="29">
        <v>215000</v>
      </c>
      <c r="H122" s="355">
        <v>0.8</v>
      </c>
      <c r="I122" s="151">
        <v>1.1479999999999999</v>
      </c>
      <c r="J122" s="32">
        <f t="shared" si="9"/>
        <v>5213000</v>
      </c>
      <c r="K122" s="39">
        <f t="shared" si="5"/>
        <v>5213000</v>
      </c>
      <c r="L122" s="261">
        <f t="shared" si="7"/>
        <v>0</v>
      </c>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c r="DQ122" s="14"/>
      <c r="DR122" s="14"/>
      <c r="DS122" s="14"/>
      <c r="DT122" s="14"/>
      <c r="DU122" s="14"/>
      <c r="DV122" s="14"/>
      <c r="DW122" s="14"/>
      <c r="DX122" s="14"/>
      <c r="DY122" s="14"/>
      <c r="DZ122" s="14"/>
      <c r="EA122" s="14"/>
      <c r="EB122" s="14"/>
      <c r="EC122" s="14"/>
      <c r="ED122" s="14"/>
      <c r="EE122" s="14"/>
      <c r="EF122" s="14"/>
      <c r="EG122" s="14"/>
      <c r="EH122" s="14"/>
      <c r="EI122" s="14"/>
      <c r="EJ122" s="14"/>
      <c r="EK122" s="14"/>
      <c r="EL122" s="14"/>
      <c r="EM122" s="14"/>
      <c r="EN122" s="14"/>
      <c r="EO122" s="14"/>
      <c r="EP122" s="14"/>
      <c r="EQ122" s="14"/>
      <c r="ER122" s="14"/>
      <c r="ES122" s="14"/>
      <c r="ET122" s="14"/>
      <c r="EU122" s="14"/>
      <c r="EV122" s="14"/>
      <c r="EW122" s="14"/>
      <c r="EX122" s="14"/>
      <c r="EY122" s="14"/>
      <c r="EZ122" s="14"/>
      <c r="FA122" s="14"/>
      <c r="FB122" s="14"/>
      <c r="FC122" s="14"/>
      <c r="FD122" s="14"/>
      <c r="FE122" s="14"/>
      <c r="FF122" s="14"/>
      <c r="FG122" s="14"/>
      <c r="FH122" s="14"/>
      <c r="FI122" s="14"/>
      <c r="FJ122" s="14"/>
      <c r="FK122" s="14"/>
      <c r="FL122" s="14"/>
      <c r="FM122" s="14"/>
      <c r="FN122" s="14"/>
      <c r="FO122" s="14"/>
      <c r="FP122" s="14"/>
      <c r="FQ122" s="14"/>
      <c r="FR122" s="14"/>
      <c r="FS122" s="14"/>
      <c r="FT122" s="14"/>
      <c r="FU122" s="14"/>
      <c r="FV122" s="14"/>
      <c r="FW122" s="14"/>
      <c r="FX122" s="14"/>
      <c r="FY122" s="14"/>
      <c r="FZ122" s="14"/>
      <c r="GA122" s="14"/>
      <c r="GB122" s="14"/>
      <c r="GC122" s="14"/>
      <c r="GD122" s="14"/>
      <c r="GE122" s="14"/>
      <c r="GF122" s="14"/>
      <c r="GG122" s="14"/>
      <c r="GH122" s="14"/>
      <c r="GI122" s="14"/>
      <c r="GJ122" s="14"/>
      <c r="GK122" s="14"/>
      <c r="GL122" s="14"/>
      <c r="GM122" s="14"/>
      <c r="GN122" s="14"/>
      <c r="GO122" s="14"/>
      <c r="GP122" s="14"/>
      <c r="GQ122" s="14"/>
      <c r="GR122" s="14"/>
      <c r="GS122" s="14"/>
      <c r="GT122" s="14"/>
      <c r="GU122" s="14"/>
      <c r="GV122" s="14"/>
      <c r="GW122" s="14"/>
      <c r="GX122" s="14"/>
      <c r="GY122" s="14"/>
      <c r="GZ122" s="14"/>
      <c r="HA122" s="14"/>
      <c r="HB122" s="14"/>
      <c r="HC122" s="14"/>
      <c r="HD122" s="14"/>
      <c r="HE122" s="14"/>
      <c r="HF122" s="14"/>
      <c r="HG122" s="14"/>
      <c r="HH122" s="14"/>
      <c r="HI122" s="14"/>
      <c r="HJ122" s="14"/>
      <c r="HK122" s="14"/>
      <c r="HL122" s="14"/>
      <c r="HM122" s="14"/>
      <c r="HN122" s="14"/>
      <c r="HO122" s="14"/>
      <c r="HP122" s="14"/>
      <c r="HQ122" s="14"/>
      <c r="HR122" s="14"/>
      <c r="HS122" s="14"/>
      <c r="HT122" s="14"/>
      <c r="HU122" s="14"/>
      <c r="HV122" s="14"/>
      <c r="HW122" s="14"/>
      <c r="HX122" s="14"/>
      <c r="HY122" s="14"/>
      <c r="HZ122" s="14"/>
      <c r="IA122" s="14"/>
      <c r="IB122" s="14"/>
      <c r="IC122" s="14"/>
      <c r="ID122" s="14"/>
      <c r="IE122" s="14"/>
      <c r="IF122" s="14"/>
      <c r="IG122" s="14"/>
      <c r="IH122" s="14"/>
      <c r="II122" s="14"/>
      <c r="IJ122" s="14"/>
      <c r="IK122" s="14"/>
      <c r="IL122" s="14"/>
      <c r="IM122" s="14"/>
      <c r="IN122" s="14"/>
      <c r="IO122" s="14"/>
      <c r="IP122" s="14"/>
      <c r="IQ122" s="14"/>
      <c r="IR122" s="14"/>
      <c r="IS122" s="14"/>
      <c r="IT122" s="14"/>
      <c r="IU122" s="14"/>
      <c r="IV122" s="14"/>
    </row>
    <row r="123" spans="1:256" s="290" customFormat="1" ht="36.75" customHeight="1" x14ac:dyDescent="0.3">
      <c r="A123" s="69"/>
      <c r="B123" s="8"/>
      <c r="C123" s="82" t="s">
        <v>1476</v>
      </c>
      <c r="D123" s="270" t="s">
        <v>52</v>
      </c>
      <c r="E123" s="71" t="s">
        <v>1477</v>
      </c>
      <c r="F123" s="74">
        <f>0.5*4.4</f>
        <v>2.2000000000000002</v>
      </c>
      <c r="G123" s="11" t="s">
        <v>53</v>
      </c>
      <c r="H123" s="355">
        <v>1</v>
      </c>
      <c r="I123" s="354">
        <v>1.1479999999999999</v>
      </c>
      <c r="J123" s="32">
        <f t="shared" si="9"/>
        <v>596000</v>
      </c>
      <c r="K123" s="39">
        <f t="shared" si="5"/>
        <v>596000</v>
      </c>
      <c r="L123" s="261">
        <f t="shared" si="7"/>
        <v>0</v>
      </c>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c r="DQ123" s="14"/>
      <c r="DR123" s="14"/>
      <c r="DS123" s="14"/>
      <c r="DT123" s="14"/>
      <c r="DU123" s="14"/>
      <c r="DV123" s="14"/>
      <c r="DW123" s="14"/>
      <c r="DX123" s="14"/>
      <c r="DY123" s="14"/>
      <c r="DZ123" s="14"/>
      <c r="EA123" s="14"/>
      <c r="EB123" s="14"/>
      <c r="EC123" s="14"/>
      <c r="ED123" s="14"/>
      <c r="EE123" s="14"/>
      <c r="EF123" s="14"/>
      <c r="EG123" s="14"/>
      <c r="EH123" s="14"/>
      <c r="EI123" s="14"/>
      <c r="EJ123" s="14"/>
      <c r="EK123" s="14"/>
      <c r="EL123" s="14"/>
      <c r="EM123" s="14"/>
      <c r="EN123" s="14"/>
      <c r="EO123" s="14"/>
      <c r="EP123" s="14"/>
      <c r="EQ123" s="14"/>
      <c r="ER123" s="14"/>
      <c r="ES123" s="14"/>
      <c r="ET123" s="14"/>
      <c r="EU123" s="14"/>
      <c r="EV123" s="14"/>
      <c r="EW123" s="14"/>
      <c r="EX123" s="14"/>
      <c r="EY123" s="14"/>
      <c r="EZ123" s="14"/>
      <c r="FA123" s="14"/>
      <c r="FB123" s="14"/>
      <c r="FC123" s="14"/>
      <c r="FD123" s="14"/>
      <c r="FE123" s="14"/>
      <c r="FF123" s="14"/>
      <c r="FG123" s="14"/>
      <c r="FH123" s="14"/>
      <c r="FI123" s="14"/>
      <c r="FJ123" s="14"/>
      <c r="FK123" s="14"/>
      <c r="FL123" s="14"/>
      <c r="FM123" s="14"/>
      <c r="FN123" s="14"/>
      <c r="FO123" s="14"/>
      <c r="FP123" s="14"/>
      <c r="FQ123" s="14"/>
      <c r="FR123" s="14"/>
      <c r="FS123" s="14"/>
      <c r="FT123" s="14"/>
      <c r="FU123" s="14"/>
      <c r="FV123" s="14"/>
      <c r="FW123" s="14"/>
      <c r="FX123" s="14"/>
      <c r="FY123" s="14"/>
      <c r="FZ123" s="14"/>
      <c r="GA123" s="14"/>
      <c r="GB123" s="14"/>
      <c r="GC123" s="14"/>
      <c r="GD123" s="14"/>
      <c r="GE123" s="14"/>
      <c r="GF123" s="14"/>
      <c r="GG123" s="14"/>
      <c r="GH123" s="14"/>
      <c r="GI123" s="14"/>
      <c r="GJ123" s="14"/>
      <c r="GK123" s="14"/>
      <c r="GL123" s="14"/>
      <c r="GM123" s="14"/>
      <c r="GN123" s="14"/>
      <c r="GO123" s="14"/>
      <c r="GP123" s="14"/>
      <c r="GQ123" s="14"/>
      <c r="GR123" s="14"/>
      <c r="GS123" s="14"/>
      <c r="GT123" s="14"/>
      <c r="GU123" s="14"/>
      <c r="GV123" s="14"/>
      <c r="GW123" s="14"/>
      <c r="GX123" s="14"/>
      <c r="GY123" s="14"/>
      <c r="GZ123" s="14"/>
      <c r="HA123" s="14"/>
      <c r="HB123" s="14"/>
      <c r="HC123" s="14"/>
      <c r="HD123" s="14"/>
      <c r="HE123" s="14"/>
      <c r="HF123" s="14"/>
      <c r="HG123" s="14"/>
      <c r="HH123" s="14"/>
      <c r="HI123" s="14"/>
      <c r="HJ123" s="14"/>
      <c r="HK123" s="14"/>
      <c r="HL123" s="14"/>
      <c r="HM123" s="14"/>
      <c r="HN123" s="14"/>
      <c r="HO123" s="14"/>
      <c r="HP123" s="14"/>
      <c r="HQ123" s="14"/>
      <c r="HR123" s="14"/>
      <c r="HS123" s="14"/>
      <c r="HT123" s="14"/>
      <c r="HU123" s="14"/>
      <c r="HV123" s="14"/>
      <c r="HW123" s="14"/>
      <c r="HX123" s="14"/>
      <c r="HY123" s="14"/>
      <c r="HZ123" s="14"/>
      <c r="IA123" s="14"/>
      <c r="IB123" s="14"/>
      <c r="IC123" s="14"/>
      <c r="ID123" s="14"/>
      <c r="IE123" s="14"/>
      <c r="IF123" s="14"/>
      <c r="IG123" s="14"/>
      <c r="IH123" s="14"/>
      <c r="II123" s="14"/>
      <c r="IJ123" s="14"/>
      <c r="IK123" s="14"/>
      <c r="IL123" s="14"/>
      <c r="IM123" s="14"/>
      <c r="IN123" s="14"/>
      <c r="IO123" s="14"/>
      <c r="IP123" s="14"/>
      <c r="IQ123" s="14"/>
      <c r="IR123" s="14"/>
      <c r="IS123" s="14"/>
      <c r="IT123" s="14"/>
      <c r="IU123" s="14"/>
      <c r="IV123" s="14"/>
    </row>
    <row r="124" spans="1:256" s="290" customFormat="1" ht="36.75" customHeight="1" x14ac:dyDescent="0.3">
      <c r="A124" s="69"/>
      <c r="B124" s="8"/>
      <c r="C124" s="82" t="s">
        <v>1478</v>
      </c>
      <c r="D124" s="270" t="s">
        <v>68</v>
      </c>
      <c r="E124" s="96" t="s">
        <v>91</v>
      </c>
      <c r="F124" s="74">
        <f>3.8*2.9</f>
        <v>11.02</v>
      </c>
      <c r="G124" s="46">
        <v>213000</v>
      </c>
      <c r="H124" s="355">
        <v>1</v>
      </c>
      <c r="I124" s="151">
        <v>1.1479999999999999</v>
      </c>
      <c r="J124" s="32">
        <f t="shared" si="9"/>
        <v>2695000</v>
      </c>
      <c r="K124" s="39">
        <f t="shared" si="5"/>
        <v>2695000</v>
      </c>
      <c r="L124" s="261">
        <f t="shared" si="7"/>
        <v>0</v>
      </c>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c r="DQ124" s="14"/>
      <c r="DR124" s="14"/>
      <c r="DS124" s="14"/>
      <c r="DT124" s="14"/>
      <c r="DU124" s="14"/>
      <c r="DV124" s="14"/>
      <c r="DW124" s="14"/>
      <c r="DX124" s="14"/>
      <c r="DY124" s="14"/>
      <c r="DZ124" s="14"/>
      <c r="EA124" s="14"/>
      <c r="EB124" s="14"/>
      <c r="EC124" s="14"/>
      <c r="ED124" s="14"/>
      <c r="EE124" s="14"/>
      <c r="EF124" s="14"/>
      <c r="EG124" s="14"/>
      <c r="EH124" s="14"/>
      <c r="EI124" s="14"/>
      <c r="EJ124" s="14"/>
      <c r="EK124" s="14"/>
      <c r="EL124" s="14"/>
      <c r="EM124" s="14"/>
      <c r="EN124" s="14"/>
      <c r="EO124" s="14"/>
      <c r="EP124" s="14"/>
      <c r="EQ124" s="14"/>
      <c r="ER124" s="14"/>
      <c r="ES124" s="14"/>
      <c r="ET124" s="14"/>
      <c r="EU124" s="14"/>
      <c r="EV124" s="14"/>
      <c r="EW124" s="14"/>
      <c r="EX124" s="14"/>
      <c r="EY124" s="14"/>
      <c r="EZ124" s="14"/>
      <c r="FA124" s="14"/>
      <c r="FB124" s="14"/>
      <c r="FC124" s="14"/>
      <c r="FD124" s="14"/>
      <c r="FE124" s="14"/>
      <c r="FF124" s="14"/>
      <c r="FG124" s="14"/>
      <c r="FH124" s="14"/>
      <c r="FI124" s="14"/>
      <c r="FJ124" s="14"/>
      <c r="FK124" s="14"/>
      <c r="FL124" s="14"/>
      <c r="FM124" s="14"/>
      <c r="FN124" s="14"/>
      <c r="FO124" s="14"/>
      <c r="FP124" s="14"/>
      <c r="FQ124" s="14"/>
      <c r="FR124" s="14"/>
      <c r="FS124" s="14"/>
      <c r="FT124" s="14"/>
      <c r="FU124" s="14"/>
      <c r="FV124" s="14"/>
      <c r="FW124" s="14"/>
      <c r="FX124" s="14"/>
      <c r="FY124" s="14"/>
      <c r="FZ124" s="14"/>
      <c r="GA124" s="14"/>
      <c r="GB124" s="14"/>
      <c r="GC124" s="14"/>
      <c r="GD124" s="14"/>
      <c r="GE124" s="14"/>
      <c r="GF124" s="14"/>
      <c r="GG124" s="14"/>
      <c r="GH124" s="14"/>
      <c r="GI124" s="14"/>
      <c r="GJ124" s="14"/>
      <c r="GK124" s="14"/>
      <c r="GL124" s="14"/>
      <c r="GM124" s="14"/>
      <c r="GN124" s="14"/>
      <c r="GO124" s="14"/>
      <c r="GP124" s="14"/>
      <c r="GQ124" s="14"/>
      <c r="GR124" s="14"/>
      <c r="GS124" s="14"/>
      <c r="GT124" s="14"/>
      <c r="GU124" s="14"/>
      <c r="GV124" s="14"/>
      <c r="GW124" s="14"/>
      <c r="GX124" s="14"/>
      <c r="GY124" s="14"/>
      <c r="GZ124" s="14"/>
      <c r="HA124" s="14"/>
      <c r="HB124" s="14"/>
      <c r="HC124" s="14"/>
      <c r="HD124" s="14"/>
      <c r="HE124" s="14"/>
      <c r="HF124" s="14"/>
      <c r="HG124" s="14"/>
      <c r="HH124" s="14"/>
      <c r="HI124" s="14"/>
      <c r="HJ124" s="14"/>
      <c r="HK124" s="14"/>
      <c r="HL124" s="14"/>
      <c r="HM124" s="14"/>
      <c r="HN124" s="14"/>
      <c r="HO124" s="14"/>
      <c r="HP124" s="14"/>
      <c r="HQ124" s="14"/>
      <c r="HR124" s="14"/>
      <c r="HS124" s="14"/>
      <c r="HT124" s="14"/>
      <c r="HU124" s="14"/>
      <c r="HV124" s="14"/>
      <c r="HW124" s="14"/>
      <c r="HX124" s="14"/>
      <c r="HY124" s="14"/>
      <c r="HZ124" s="14"/>
      <c r="IA124" s="14"/>
      <c r="IB124" s="14"/>
      <c r="IC124" s="14"/>
      <c r="ID124" s="14"/>
      <c r="IE124" s="14"/>
      <c r="IF124" s="14"/>
      <c r="IG124" s="14"/>
      <c r="IH124" s="14"/>
      <c r="II124" s="14"/>
      <c r="IJ124" s="14"/>
      <c r="IK124" s="14"/>
      <c r="IL124" s="14"/>
      <c r="IM124" s="14"/>
      <c r="IN124" s="14"/>
      <c r="IO124" s="14"/>
      <c r="IP124" s="14"/>
      <c r="IQ124" s="14"/>
      <c r="IR124" s="14"/>
      <c r="IS124" s="14"/>
      <c r="IT124" s="14"/>
      <c r="IU124" s="14"/>
      <c r="IV124" s="14"/>
    </row>
    <row r="125" spans="1:256" s="290" customFormat="1" ht="40.5" customHeight="1" x14ac:dyDescent="0.3">
      <c r="A125" s="69"/>
      <c r="B125" s="8"/>
      <c r="C125" s="82" t="s">
        <v>1479</v>
      </c>
      <c r="D125" s="267" t="s">
        <v>24</v>
      </c>
      <c r="E125" s="8" t="s">
        <v>25</v>
      </c>
      <c r="F125" s="74">
        <f>0.4*3*0.1+1*4.2*0.1</f>
        <v>0.54</v>
      </c>
      <c r="G125" s="29">
        <v>2828000</v>
      </c>
      <c r="H125" s="355">
        <v>1</v>
      </c>
      <c r="I125" s="151">
        <v>1.1479999999999999</v>
      </c>
      <c r="J125" s="32">
        <f t="shared" si="9"/>
        <v>1753000</v>
      </c>
      <c r="K125" s="39">
        <f t="shared" si="5"/>
        <v>1753000</v>
      </c>
      <c r="L125" s="261">
        <f t="shared" si="7"/>
        <v>0</v>
      </c>
      <c r="M125" s="409" t="s">
        <v>1397</v>
      </c>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c r="DQ125" s="14"/>
      <c r="DR125" s="14"/>
      <c r="DS125" s="14"/>
      <c r="DT125" s="14"/>
      <c r="DU125" s="14"/>
      <c r="DV125" s="14"/>
      <c r="DW125" s="14"/>
      <c r="DX125" s="14"/>
      <c r="DY125" s="14"/>
      <c r="DZ125" s="14"/>
      <c r="EA125" s="14"/>
      <c r="EB125" s="14"/>
      <c r="EC125" s="14"/>
      <c r="ED125" s="14"/>
      <c r="EE125" s="14"/>
      <c r="EF125" s="14"/>
      <c r="EG125" s="14"/>
      <c r="EH125" s="14"/>
      <c r="EI125" s="14"/>
      <c r="EJ125" s="14"/>
      <c r="EK125" s="14"/>
      <c r="EL125" s="14"/>
      <c r="EM125" s="14"/>
      <c r="EN125" s="14"/>
      <c r="EO125" s="14"/>
      <c r="EP125" s="14"/>
      <c r="EQ125" s="14"/>
      <c r="ER125" s="14"/>
      <c r="ES125" s="14"/>
      <c r="ET125" s="14"/>
      <c r="EU125" s="14"/>
      <c r="EV125" s="14"/>
      <c r="EW125" s="14"/>
      <c r="EX125" s="14"/>
      <c r="EY125" s="14"/>
      <c r="EZ125" s="14"/>
      <c r="FA125" s="14"/>
      <c r="FB125" s="14"/>
      <c r="FC125" s="14"/>
      <c r="FD125" s="14"/>
      <c r="FE125" s="14"/>
      <c r="FF125" s="14"/>
      <c r="FG125" s="14"/>
      <c r="FH125" s="14"/>
      <c r="FI125" s="14"/>
      <c r="FJ125" s="14"/>
      <c r="FK125" s="14"/>
      <c r="FL125" s="14"/>
      <c r="FM125" s="14"/>
      <c r="FN125" s="14"/>
      <c r="FO125" s="14"/>
      <c r="FP125" s="14"/>
      <c r="FQ125" s="14"/>
      <c r="FR125" s="14"/>
      <c r="FS125" s="14"/>
      <c r="FT125" s="14"/>
      <c r="FU125" s="14"/>
      <c r="FV125" s="14"/>
      <c r="FW125" s="14"/>
      <c r="FX125" s="14"/>
      <c r="FY125" s="14"/>
      <c r="FZ125" s="14"/>
      <c r="GA125" s="14"/>
      <c r="GB125" s="14"/>
      <c r="GC125" s="14"/>
      <c r="GD125" s="14"/>
      <c r="GE125" s="14"/>
      <c r="GF125" s="14"/>
      <c r="GG125" s="14"/>
      <c r="GH125" s="14"/>
      <c r="GI125" s="14"/>
      <c r="GJ125" s="14"/>
      <c r="GK125" s="14"/>
      <c r="GL125" s="14"/>
      <c r="GM125" s="14"/>
      <c r="GN125" s="14"/>
      <c r="GO125" s="14"/>
      <c r="GP125" s="14"/>
      <c r="GQ125" s="14"/>
      <c r="GR125" s="14"/>
      <c r="GS125" s="14"/>
      <c r="GT125" s="14"/>
      <c r="GU125" s="14"/>
      <c r="GV125" s="14"/>
      <c r="GW125" s="14"/>
      <c r="GX125" s="14"/>
      <c r="GY125" s="14"/>
      <c r="GZ125" s="14"/>
      <c r="HA125" s="14"/>
      <c r="HB125" s="14"/>
      <c r="HC125" s="14"/>
      <c r="HD125" s="14"/>
      <c r="HE125" s="14"/>
      <c r="HF125" s="14"/>
      <c r="HG125" s="14"/>
      <c r="HH125" s="14"/>
      <c r="HI125" s="14"/>
      <c r="HJ125" s="14"/>
      <c r="HK125" s="14"/>
      <c r="HL125" s="14"/>
      <c r="HM125" s="14"/>
      <c r="HN125" s="14"/>
      <c r="HO125" s="14"/>
      <c r="HP125" s="14"/>
      <c r="HQ125" s="14"/>
      <c r="HR125" s="14"/>
      <c r="HS125" s="14"/>
      <c r="HT125" s="14"/>
      <c r="HU125" s="14"/>
      <c r="HV125" s="14"/>
      <c r="HW125" s="14"/>
      <c r="HX125" s="14"/>
      <c r="HY125" s="14"/>
      <c r="HZ125" s="14"/>
      <c r="IA125" s="14"/>
      <c r="IB125" s="14"/>
      <c r="IC125" s="14"/>
      <c r="ID125" s="14"/>
      <c r="IE125" s="14"/>
      <c r="IF125" s="14"/>
      <c r="IG125" s="14"/>
      <c r="IH125" s="14"/>
      <c r="II125" s="14"/>
      <c r="IJ125" s="14"/>
      <c r="IK125" s="14"/>
      <c r="IL125" s="14"/>
      <c r="IM125" s="14"/>
      <c r="IN125" s="14"/>
      <c r="IO125" s="14"/>
      <c r="IP125" s="14"/>
      <c r="IQ125" s="14"/>
      <c r="IR125" s="14"/>
      <c r="IS125" s="14"/>
      <c r="IT125" s="14"/>
      <c r="IU125" s="14"/>
      <c r="IV125" s="14"/>
    </row>
    <row r="126" spans="1:256" s="290" customFormat="1" ht="36.75" customHeight="1" x14ac:dyDescent="0.3">
      <c r="A126" s="69"/>
      <c r="B126" s="8"/>
      <c r="C126" s="82" t="s">
        <v>1480</v>
      </c>
      <c r="D126" s="270" t="s">
        <v>52</v>
      </c>
      <c r="E126" s="96" t="s">
        <v>91</v>
      </c>
      <c r="F126" s="74">
        <f>4*1.2</f>
        <v>4.8</v>
      </c>
      <c r="G126" s="11" t="s">
        <v>53</v>
      </c>
      <c r="H126" s="355">
        <v>1</v>
      </c>
      <c r="I126" s="354">
        <v>1.1479999999999999</v>
      </c>
      <c r="J126" s="32">
        <f t="shared" si="9"/>
        <v>1300000</v>
      </c>
      <c r="K126" s="39">
        <f t="shared" si="5"/>
        <v>1300000</v>
      </c>
      <c r="L126" s="261">
        <f t="shared" si="7"/>
        <v>0</v>
      </c>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4"/>
      <c r="EU126" s="14"/>
      <c r="EV126" s="14"/>
      <c r="EW126" s="14"/>
      <c r="EX126" s="14"/>
      <c r="EY126" s="14"/>
      <c r="EZ126" s="14"/>
      <c r="FA126" s="14"/>
      <c r="FB126" s="14"/>
      <c r="FC126" s="14"/>
      <c r="FD126" s="14"/>
      <c r="FE126" s="14"/>
      <c r="FF126" s="14"/>
      <c r="FG126" s="14"/>
      <c r="FH126" s="14"/>
      <c r="FI126" s="14"/>
      <c r="FJ126" s="14"/>
      <c r="FK126" s="14"/>
      <c r="FL126" s="14"/>
      <c r="FM126" s="14"/>
      <c r="FN126" s="14"/>
      <c r="FO126" s="14"/>
      <c r="FP126" s="14"/>
      <c r="FQ126" s="14"/>
      <c r="FR126" s="14"/>
      <c r="FS126" s="14"/>
      <c r="FT126" s="14"/>
      <c r="FU126" s="14"/>
      <c r="FV126" s="14"/>
      <c r="FW126" s="14"/>
      <c r="FX126" s="14"/>
      <c r="FY126" s="14"/>
      <c r="FZ126" s="14"/>
      <c r="GA126" s="14"/>
      <c r="GB126" s="14"/>
      <c r="GC126" s="14"/>
      <c r="GD126" s="14"/>
      <c r="GE126" s="14"/>
      <c r="GF126" s="14"/>
      <c r="GG126" s="14"/>
      <c r="GH126" s="14"/>
      <c r="GI126" s="14"/>
      <c r="GJ126" s="14"/>
      <c r="GK126" s="14"/>
      <c r="GL126" s="14"/>
      <c r="GM126" s="14"/>
      <c r="GN126" s="14"/>
      <c r="GO126" s="14"/>
      <c r="GP126" s="14"/>
      <c r="GQ126" s="14"/>
      <c r="GR126" s="14"/>
      <c r="GS126" s="14"/>
      <c r="GT126" s="14"/>
      <c r="GU126" s="14"/>
      <c r="GV126" s="14"/>
      <c r="GW126" s="14"/>
      <c r="GX126" s="14"/>
      <c r="GY126" s="14"/>
      <c r="GZ126" s="14"/>
      <c r="HA126" s="14"/>
      <c r="HB126" s="14"/>
      <c r="HC126" s="14"/>
      <c r="HD126" s="14"/>
      <c r="HE126" s="14"/>
      <c r="HF126" s="14"/>
      <c r="HG126" s="14"/>
      <c r="HH126" s="14"/>
      <c r="HI126" s="14"/>
      <c r="HJ126" s="14"/>
      <c r="HK126" s="14"/>
      <c r="HL126" s="14"/>
      <c r="HM126" s="14"/>
      <c r="HN126" s="14"/>
      <c r="HO126" s="14"/>
      <c r="HP126" s="14"/>
      <c r="HQ126" s="14"/>
      <c r="HR126" s="14"/>
      <c r="HS126" s="14"/>
      <c r="HT126" s="14"/>
      <c r="HU126" s="14"/>
      <c r="HV126" s="14"/>
      <c r="HW126" s="14"/>
      <c r="HX126" s="14"/>
      <c r="HY126" s="14"/>
      <c r="HZ126" s="14"/>
      <c r="IA126" s="14"/>
      <c r="IB126" s="14"/>
      <c r="IC126" s="14"/>
      <c r="ID126" s="14"/>
      <c r="IE126" s="14"/>
      <c r="IF126" s="14"/>
      <c r="IG126" s="14"/>
      <c r="IH126" s="14"/>
      <c r="II126" s="14"/>
      <c r="IJ126" s="14"/>
      <c r="IK126" s="14"/>
      <c r="IL126" s="14"/>
      <c r="IM126" s="14"/>
      <c r="IN126" s="14"/>
      <c r="IO126" s="14"/>
      <c r="IP126" s="14"/>
      <c r="IQ126" s="14"/>
      <c r="IR126" s="14"/>
      <c r="IS126" s="14"/>
      <c r="IT126" s="14"/>
      <c r="IU126" s="14"/>
      <c r="IV126" s="14"/>
    </row>
    <row r="127" spans="1:256" s="290" customFormat="1" ht="36.75" customHeight="1" x14ac:dyDescent="0.3">
      <c r="A127" s="69"/>
      <c r="B127" s="8"/>
      <c r="C127" s="82" t="s">
        <v>1481</v>
      </c>
      <c r="D127" s="269" t="s">
        <v>1471</v>
      </c>
      <c r="E127" s="96" t="s">
        <v>91</v>
      </c>
      <c r="F127" s="74">
        <f>6.3*0.85</f>
        <v>5.3549999999999995</v>
      </c>
      <c r="G127" s="11">
        <v>453000</v>
      </c>
      <c r="H127" s="355">
        <v>1</v>
      </c>
      <c r="I127" s="354">
        <v>1.1479999999999999</v>
      </c>
      <c r="J127" s="32">
        <f t="shared" si="9"/>
        <v>2785000</v>
      </c>
      <c r="K127" s="39">
        <f t="shared" si="5"/>
        <v>2785000</v>
      </c>
      <c r="L127" s="261">
        <f t="shared" si="7"/>
        <v>0</v>
      </c>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c r="DQ127" s="14"/>
      <c r="DR127" s="14"/>
      <c r="DS127" s="14"/>
      <c r="DT127" s="14"/>
      <c r="DU127" s="14"/>
      <c r="DV127" s="14"/>
      <c r="DW127" s="14"/>
      <c r="DX127" s="14"/>
      <c r="DY127" s="14"/>
      <c r="DZ127" s="14"/>
      <c r="EA127" s="14"/>
      <c r="EB127" s="14"/>
      <c r="EC127" s="14"/>
      <c r="ED127" s="14"/>
      <c r="EE127" s="14"/>
      <c r="EF127" s="14"/>
      <c r="EG127" s="14"/>
      <c r="EH127" s="14"/>
      <c r="EI127" s="14"/>
      <c r="EJ127" s="14"/>
      <c r="EK127" s="14"/>
      <c r="EL127" s="14"/>
      <c r="EM127" s="14"/>
      <c r="EN127" s="14"/>
      <c r="EO127" s="14"/>
      <c r="EP127" s="14"/>
      <c r="EQ127" s="14"/>
      <c r="ER127" s="14"/>
      <c r="ES127" s="14"/>
      <c r="ET127" s="14"/>
      <c r="EU127" s="14"/>
      <c r="EV127" s="14"/>
      <c r="EW127" s="14"/>
      <c r="EX127" s="14"/>
      <c r="EY127" s="14"/>
      <c r="EZ127" s="14"/>
      <c r="FA127" s="14"/>
      <c r="FB127" s="14"/>
      <c r="FC127" s="14"/>
      <c r="FD127" s="14"/>
      <c r="FE127" s="14"/>
      <c r="FF127" s="14"/>
      <c r="FG127" s="14"/>
      <c r="FH127" s="14"/>
      <c r="FI127" s="14"/>
      <c r="FJ127" s="14"/>
      <c r="FK127" s="14"/>
      <c r="FL127" s="14"/>
      <c r="FM127" s="14"/>
      <c r="FN127" s="14"/>
      <c r="FO127" s="14"/>
      <c r="FP127" s="14"/>
      <c r="FQ127" s="14"/>
      <c r="FR127" s="14"/>
      <c r="FS127" s="14"/>
      <c r="FT127" s="14"/>
      <c r="FU127" s="14"/>
      <c r="FV127" s="14"/>
      <c r="FW127" s="14"/>
      <c r="FX127" s="14"/>
      <c r="FY127" s="14"/>
      <c r="FZ127" s="14"/>
      <c r="GA127" s="14"/>
      <c r="GB127" s="14"/>
      <c r="GC127" s="14"/>
      <c r="GD127" s="14"/>
      <c r="GE127" s="14"/>
      <c r="GF127" s="14"/>
      <c r="GG127" s="14"/>
      <c r="GH127" s="14"/>
      <c r="GI127" s="14"/>
      <c r="GJ127" s="14"/>
      <c r="GK127" s="14"/>
      <c r="GL127" s="14"/>
      <c r="GM127" s="14"/>
      <c r="GN127" s="14"/>
      <c r="GO127" s="14"/>
      <c r="GP127" s="14"/>
      <c r="GQ127" s="14"/>
      <c r="GR127" s="14"/>
      <c r="GS127" s="14"/>
      <c r="GT127" s="14"/>
      <c r="GU127" s="14"/>
      <c r="GV127" s="14"/>
      <c r="GW127" s="14"/>
      <c r="GX127" s="14"/>
      <c r="GY127" s="14"/>
      <c r="GZ127" s="14"/>
      <c r="HA127" s="14"/>
      <c r="HB127" s="14"/>
      <c r="HC127" s="14"/>
      <c r="HD127" s="14"/>
      <c r="HE127" s="14"/>
      <c r="HF127" s="14"/>
      <c r="HG127" s="14"/>
      <c r="HH127" s="14"/>
      <c r="HI127" s="14"/>
      <c r="HJ127" s="14"/>
      <c r="HK127" s="14"/>
      <c r="HL127" s="14"/>
      <c r="HM127" s="14"/>
      <c r="HN127" s="14"/>
      <c r="HO127" s="14"/>
      <c r="HP127" s="14"/>
      <c r="HQ127" s="14"/>
      <c r="HR127" s="14"/>
      <c r="HS127" s="14"/>
      <c r="HT127" s="14"/>
      <c r="HU127" s="14"/>
      <c r="HV127" s="14"/>
      <c r="HW127" s="14"/>
      <c r="HX127" s="14"/>
      <c r="HY127" s="14"/>
      <c r="HZ127" s="14"/>
      <c r="IA127" s="14"/>
      <c r="IB127" s="14"/>
      <c r="IC127" s="14"/>
      <c r="ID127" s="14"/>
      <c r="IE127" s="14"/>
      <c r="IF127" s="14"/>
      <c r="IG127" s="14"/>
      <c r="IH127" s="14"/>
      <c r="II127" s="14"/>
      <c r="IJ127" s="14"/>
      <c r="IK127" s="14"/>
      <c r="IL127" s="14"/>
      <c r="IM127" s="14"/>
      <c r="IN127" s="14"/>
      <c r="IO127" s="14"/>
      <c r="IP127" s="14"/>
      <c r="IQ127" s="14"/>
      <c r="IR127" s="14"/>
      <c r="IS127" s="14"/>
      <c r="IT127" s="14"/>
      <c r="IU127" s="14"/>
      <c r="IV127" s="14"/>
    </row>
    <row r="128" spans="1:256" s="290" customFormat="1" ht="36.75" customHeight="1" x14ac:dyDescent="0.3">
      <c r="A128" s="117"/>
      <c r="B128" s="118"/>
      <c r="C128" s="82" t="s">
        <v>1482</v>
      </c>
      <c r="D128" s="270" t="s">
        <v>38</v>
      </c>
      <c r="E128" s="71" t="s">
        <v>39</v>
      </c>
      <c r="F128" s="72">
        <v>1</v>
      </c>
      <c r="G128" s="55">
        <v>1018000</v>
      </c>
      <c r="H128" s="355">
        <v>1</v>
      </c>
      <c r="I128" s="410">
        <v>1.1479999999999999</v>
      </c>
      <c r="J128" s="364">
        <f t="shared" si="9"/>
        <v>1169000</v>
      </c>
      <c r="K128" s="39">
        <f t="shared" si="5"/>
        <v>1169000</v>
      </c>
      <c r="L128" s="261">
        <f t="shared" si="7"/>
        <v>0</v>
      </c>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c r="DQ128" s="14"/>
      <c r="DR128" s="14"/>
      <c r="DS128" s="14"/>
      <c r="DT128" s="14"/>
      <c r="DU128" s="14"/>
      <c r="DV128" s="14"/>
      <c r="DW128" s="14"/>
      <c r="DX128" s="14"/>
      <c r="DY128" s="14"/>
      <c r="DZ128" s="14"/>
      <c r="EA128" s="14"/>
      <c r="EB128" s="14"/>
      <c r="EC128" s="14"/>
      <c r="ED128" s="14"/>
      <c r="EE128" s="14"/>
      <c r="EF128" s="14"/>
      <c r="EG128" s="14"/>
      <c r="EH128" s="14"/>
      <c r="EI128" s="14"/>
      <c r="EJ128" s="14"/>
      <c r="EK128" s="14"/>
      <c r="EL128" s="14"/>
      <c r="EM128" s="14"/>
      <c r="EN128" s="14"/>
      <c r="EO128" s="14"/>
      <c r="EP128" s="14"/>
      <c r="EQ128" s="14"/>
      <c r="ER128" s="14"/>
      <c r="ES128" s="14"/>
      <c r="ET128" s="14"/>
      <c r="EU128" s="14"/>
      <c r="EV128" s="14"/>
      <c r="EW128" s="14"/>
      <c r="EX128" s="14"/>
      <c r="EY128" s="14"/>
      <c r="EZ128" s="14"/>
      <c r="FA128" s="14"/>
      <c r="FB128" s="14"/>
      <c r="FC128" s="14"/>
      <c r="FD128" s="14"/>
      <c r="FE128" s="14"/>
      <c r="FF128" s="14"/>
      <c r="FG128" s="14"/>
      <c r="FH128" s="14"/>
      <c r="FI128" s="14"/>
      <c r="FJ128" s="14"/>
      <c r="FK128" s="14"/>
      <c r="FL128" s="14"/>
      <c r="FM128" s="14"/>
      <c r="FN128" s="14"/>
      <c r="FO128" s="14"/>
      <c r="FP128" s="14"/>
      <c r="FQ128" s="14"/>
      <c r="FR128" s="14"/>
      <c r="FS128" s="14"/>
      <c r="FT128" s="14"/>
      <c r="FU128" s="14"/>
      <c r="FV128" s="14"/>
      <c r="FW128" s="14"/>
      <c r="FX128" s="14"/>
      <c r="FY128" s="14"/>
      <c r="FZ128" s="14"/>
      <c r="GA128" s="14"/>
      <c r="GB128" s="14"/>
      <c r="GC128" s="14"/>
      <c r="GD128" s="14"/>
      <c r="GE128" s="14"/>
      <c r="GF128" s="14"/>
      <c r="GG128" s="14"/>
      <c r="GH128" s="14"/>
      <c r="GI128" s="14"/>
      <c r="GJ128" s="14"/>
      <c r="GK128" s="14"/>
      <c r="GL128" s="14"/>
      <c r="GM128" s="14"/>
      <c r="GN128" s="14"/>
      <c r="GO128" s="14"/>
      <c r="GP128" s="14"/>
      <c r="GQ128" s="14"/>
      <c r="GR128" s="14"/>
      <c r="GS128" s="14"/>
      <c r="GT128" s="14"/>
      <c r="GU128" s="14"/>
      <c r="GV128" s="14"/>
      <c r="GW128" s="14"/>
      <c r="GX128" s="14"/>
      <c r="GY128" s="14"/>
      <c r="GZ128" s="14"/>
      <c r="HA128" s="14"/>
      <c r="HB128" s="14"/>
      <c r="HC128" s="14"/>
      <c r="HD128" s="14"/>
      <c r="HE128" s="14"/>
      <c r="HF128" s="14"/>
      <c r="HG128" s="14"/>
      <c r="HH128" s="14"/>
      <c r="HI128" s="14"/>
      <c r="HJ128" s="14"/>
      <c r="HK128" s="14"/>
      <c r="HL128" s="14"/>
      <c r="HM128" s="14"/>
      <c r="HN128" s="14"/>
      <c r="HO128" s="14"/>
      <c r="HP128" s="14"/>
      <c r="HQ128" s="14"/>
      <c r="HR128" s="14"/>
      <c r="HS128" s="14"/>
      <c r="HT128" s="14"/>
      <c r="HU128" s="14"/>
      <c r="HV128" s="14"/>
      <c r="HW128" s="14"/>
      <c r="HX128" s="14"/>
      <c r="HY128" s="14"/>
      <c r="HZ128" s="14"/>
      <c r="IA128" s="14"/>
      <c r="IB128" s="14"/>
      <c r="IC128" s="14"/>
      <c r="ID128" s="14"/>
      <c r="IE128" s="14"/>
      <c r="IF128" s="14"/>
      <c r="IG128" s="14"/>
      <c r="IH128" s="14"/>
      <c r="II128" s="14"/>
      <c r="IJ128" s="14"/>
      <c r="IK128" s="14"/>
      <c r="IL128" s="14"/>
      <c r="IM128" s="14"/>
      <c r="IN128" s="14"/>
      <c r="IO128" s="14"/>
      <c r="IP128" s="14"/>
      <c r="IQ128" s="14"/>
      <c r="IR128" s="14"/>
      <c r="IS128" s="14"/>
      <c r="IT128" s="14"/>
      <c r="IU128" s="14"/>
      <c r="IV128" s="14"/>
    </row>
    <row r="129" spans="1:256" s="290" customFormat="1" ht="25.5" x14ac:dyDescent="0.3">
      <c r="A129" s="69"/>
      <c r="B129" s="8"/>
      <c r="C129" s="113" t="s">
        <v>1410</v>
      </c>
      <c r="D129" s="399" t="s">
        <v>94</v>
      </c>
      <c r="E129" s="126" t="s">
        <v>35</v>
      </c>
      <c r="F129" s="116">
        <v>1</v>
      </c>
      <c r="G129" s="411">
        <v>1065100</v>
      </c>
      <c r="H129" s="372">
        <v>1</v>
      </c>
      <c r="I129" s="373">
        <v>1</v>
      </c>
      <c r="J129" s="412">
        <f t="shared" si="9"/>
        <v>1065000</v>
      </c>
      <c r="K129" s="39">
        <f t="shared" si="5"/>
        <v>1065000</v>
      </c>
      <c r="L129" s="261">
        <f t="shared" si="7"/>
        <v>0</v>
      </c>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c r="DO129" s="14"/>
      <c r="DP129" s="14"/>
      <c r="DQ129" s="14"/>
      <c r="DR129" s="14"/>
      <c r="DS129" s="14"/>
      <c r="DT129" s="14"/>
      <c r="DU129" s="14"/>
      <c r="DV129" s="14"/>
      <c r="DW129" s="14"/>
      <c r="DX129" s="14"/>
      <c r="DY129" s="14"/>
      <c r="DZ129" s="14"/>
      <c r="EA129" s="14"/>
      <c r="EB129" s="14"/>
      <c r="EC129" s="14"/>
      <c r="ED129" s="14"/>
      <c r="EE129" s="14"/>
      <c r="EF129" s="14"/>
      <c r="EG129" s="14"/>
      <c r="EH129" s="14"/>
      <c r="EI129" s="14"/>
      <c r="EJ129" s="14"/>
      <c r="EK129" s="14"/>
      <c r="EL129" s="14"/>
      <c r="EM129" s="14"/>
      <c r="EN129" s="14"/>
      <c r="EO129" s="14"/>
      <c r="EP129" s="14"/>
      <c r="EQ129" s="14"/>
      <c r="ER129" s="14"/>
      <c r="ES129" s="14"/>
      <c r="ET129" s="14"/>
      <c r="EU129" s="14"/>
      <c r="EV129" s="14"/>
      <c r="EW129" s="14"/>
      <c r="EX129" s="14"/>
      <c r="EY129" s="14"/>
      <c r="EZ129" s="14"/>
      <c r="FA129" s="14"/>
      <c r="FB129" s="14"/>
      <c r="FC129" s="14"/>
      <c r="FD129" s="14"/>
      <c r="FE129" s="14"/>
      <c r="FF129" s="14"/>
      <c r="FG129" s="14"/>
      <c r="FH129" s="14"/>
      <c r="FI129" s="14"/>
      <c r="FJ129" s="14"/>
      <c r="FK129" s="14"/>
      <c r="FL129" s="14"/>
      <c r="FM129" s="14"/>
      <c r="FN129" s="14"/>
      <c r="FO129" s="14"/>
      <c r="FP129" s="14"/>
      <c r="FQ129" s="14"/>
      <c r="FR129" s="14"/>
      <c r="FS129" s="14"/>
      <c r="FT129" s="14"/>
      <c r="FU129" s="14"/>
      <c r="FV129" s="14"/>
      <c r="FW129" s="14"/>
      <c r="FX129" s="14"/>
      <c r="FY129" s="14"/>
      <c r="FZ129" s="14"/>
      <c r="GA129" s="14"/>
      <c r="GB129" s="14"/>
      <c r="GC129" s="14"/>
      <c r="GD129" s="14"/>
      <c r="GE129" s="14"/>
      <c r="GF129" s="14"/>
      <c r="GG129" s="14"/>
      <c r="GH129" s="14"/>
      <c r="GI129" s="14"/>
      <c r="GJ129" s="14"/>
      <c r="GK129" s="14"/>
      <c r="GL129" s="14"/>
      <c r="GM129" s="14"/>
      <c r="GN129" s="14"/>
      <c r="GO129" s="14"/>
      <c r="GP129" s="14"/>
      <c r="GQ129" s="14"/>
      <c r="GR129" s="14"/>
      <c r="GS129" s="14"/>
      <c r="GT129" s="14"/>
      <c r="GU129" s="14"/>
      <c r="GV129" s="14"/>
      <c r="GW129" s="14"/>
      <c r="GX129" s="14"/>
      <c r="GY129" s="14"/>
      <c r="GZ129" s="14"/>
      <c r="HA129" s="14"/>
      <c r="HB129" s="14"/>
      <c r="HC129" s="14"/>
      <c r="HD129" s="14"/>
      <c r="HE129" s="14"/>
      <c r="HF129" s="14"/>
      <c r="HG129" s="14"/>
      <c r="HH129" s="14"/>
      <c r="HI129" s="14"/>
      <c r="HJ129" s="14"/>
      <c r="HK129" s="14"/>
      <c r="HL129" s="14"/>
      <c r="HM129" s="14"/>
      <c r="HN129" s="14"/>
      <c r="HO129" s="14"/>
      <c r="HP129" s="14"/>
      <c r="HQ129" s="14"/>
      <c r="HR129" s="14"/>
      <c r="HS129" s="14"/>
      <c r="HT129" s="14"/>
      <c r="HU129" s="14"/>
      <c r="HV129" s="14"/>
      <c r="HW129" s="14"/>
      <c r="HX129" s="14"/>
      <c r="HY129" s="14"/>
      <c r="HZ129" s="14"/>
      <c r="IA129" s="14"/>
      <c r="IB129" s="14"/>
      <c r="IC129" s="14"/>
      <c r="ID129" s="14"/>
      <c r="IE129" s="14"/>
      <c r="IF129" s="14"/>
      <c r="IG129" s="14"/>
      <c r="IH129" s="14"/>
      <c r="II129" s="14"/>
      <c r="IJ129" s="14"/>
      <c r="IK129" s="14"/>
      <c r="IL129" s="14"/>
      <c r="IM129" s="14"/>
      <c r="IN129" s="14"/>
      <c r="IO129" s="14"/>
      <c r="IP129" s="14"/>
      <c r="IQ129" s="14"/>
      <c r="IR129" s="14"/>
      <c r="IS129" s="14"/>
      <c r="IT129" s="14"/>
      <c r="IU129" s="14"/>
      <c r="IV129" s="14"/>
    </row>
    <row r="130" spans="1:256" s="290" customFormat="1" ht="38.25" x14ac:dyDescent="0.3">
      <c r="A130" s="104"/>
      <c r="B130" s="105"/>
      <c r="C130" s="113" t="s">
        <v>1483</v>
      </c>
      <c r="D130" s="399" t="s">
        <v>47</v>
      </c>
      <c r="E130" s="126" t="s">
        <v>45</v>
      </c>
      <c r="F130" s="413">
        <v>7</v>
      </c>
      <c r="G130" s="177">
        <v>28000</v>
      </c>
      <c r="H130" s="355">
        <v>1</v>
      </c>
      <c r="I130" s="400">
        <v>1.1479999999999999</v>
      </c>
      <c r="J130" s="378">
        <f t="shared" si="9"/>
        <v>225000</v>
      </c>
      <c r="K130" s="39">
        <f t="shared" si="5"/>
        <v>225000</v>
      </c>
      <c r="L130" s="261">
        <f t="shared" si="7"/>
        <v>0</v>
      </c>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c r="DQ130" s="14"/>
      <c r="DR130" s="14"/>
      <c r="DS130" s="14"/>
      <c r="DT130" s="14"/>
      <c r="DU130" s="14"/>
      <c r="DV130" s="14"/>
      <c r="DW130" s="14"/>
      <c r="DX130" s="14"/>
      <c r="DY130" s="14"/>
      <c r="DZ130" s="14"/>
      <c r="EA130" s="14"/>
      <c r="EB130" s="14"/>
      <c r="EC130" s="14"/>
      <c r="ED130" s="14"/>
      <c r="EE130" s="14"/>
      <c r="EF130" s="14"/>
      <c r="EG130" s="14"/>
      <c r="EH130" s="14"/>
      <c r="EI130" s="14"/>
      <c r="EJ130" s="14"/>
      <c r="EK130" s="14"/>
      <c r="EL130" s="14"/>
      <c r="EM130" s="14"/>
      <c r="EN130" s="14"/>
      <c r="EO130" s="14"/>
      <c r="EP130" s="14"/>
      <c r="EQ130" s="14"/>
      <c r="ER130" s="14"/>
      <c r="ES130" s="14"/>
      <c r="ET130" s="14"/>
      <c r="EU130" s="14"/>
      <c r="EV130" s="14"/>
      <c r="EW130" s="14"/>
      <c r="EX130" s="14"/>
      <c r="EY130" s="14"/>
      <c r="EZ130" s="14"/>
      <c r="FA130" s="14"/>
      <c r="FB130" s="14"/>
      <c r="FC130" s="14"/>
      <c r="FD130" s="14"/>
      <c r="FE130" s="14"/>
      <c r="FF130" s="14"/>
      <c r="FG130" s="14"/>
      <c r="FH130" s="14"/>
      <c r="FI130" s="14"/>
      <c r="FJ130" s="14"/>
      <c r="FK130" s="14"/>
      <c r="FL130" s="14"/>
      <c r="FM130" s="14"/>
      <c r="FN130" s="14"/>
      <c r="FO130" s="14"/>
      <c r="FP130" s="14"/>
      <c r="FQ130" s="14"/>
      <c r="FR130" s="14"/>
      <c r="FS130" s="14"/>
      <c r="FT130" s="14"/>
      <c r="FU130" s="14"/>
      <c r="FV130" s="14"/>
      <c r="FW130" s="14"/>
      <c r="FX130" s="14"/>
      <c r="FY130" s="14"/>
      <c r="FZ130" s="14"/>
      <c r="GA130" s="14"/>
      <c r="GB130" s="14"/>
      <c r="GC130" s="14"/>
      <c r="GD130" s="14"/>
      <c r="GE130" s="14"/>
      <c r="GF130" s="14"/>
      <c r="GG130" s="14"/>
      <c r="GH130" s="14"/>
      <c r="GI130" s="14"/>
      <c r="GJ130" s="14"/>
      <c r="GK130" s="14"/>
      <c r="GL130" s="14"/>
      <c r="GM130" s="14"/>
      <c r="GN130" s="14"/>
      <c r="GO130" s="14"/>
      <c r="GP130" s="14"/>
      <c r="GQ130" s="14"/>
      <c r="GR130" s="14"/>
      <c r="GS130" s="14"/>
      <c r="GT130" s="14"/>
      <c r="GU130" s="14"/>
      <c r="GV130" s="14"/>
      <c r="GW130" s="14"/>
      <c r="GX130" s="14"/>
      <c r="GY130" s="14"/>
      <c r="GZ130" s="14"/>
      <c r="HA130" s="14"/>
      <c r="HB130" s="14"/>
      <c r="HC130" s="14"/>
      <c r="HD130" s="14"/>
      <c r="HE130" s="14"/>
      <c r="HF130" s="14"/>
      <c r="HG130" s="14"/>
      <c r="HH130" s="14"/>
      <c r="HI130" s="14"/>
      <c r="HJ130" s="14"/>
      <c r="HK130" s="14"/>
      <c r="HL130" s="14"/>
      <c r="HM130" s="14"/>
      <c r="HN130" s="14"/>
      <c r="HO130" s="14"/>
      <c r="HP130" s="14"/>
      <c r="HQ130" s="14"/>
      <c r="HR130" s="14"/>
      <c r="HS130" s="14"/>
      <c r="HT130" s="14"/>
      <c r="HU130" s="14"/>
      <c r="HV130" s="14"/>
      <c r="HW130" s="14"/>
      <c r="HX130" s="14"/>
      <c r="HY130" s="14"/>
      <c r="HZ130" s="14"/>
      <c r="IA130" s="14"/>
      <c r="IB130" s="14"/>
      <c r="IC130" s="14"/>
      <c r="ID130" s="14"/>
      <c r="IE130" s="14"/>
      <c r="IF130" s="14"/>
      <c r="IG130" s="14"/>
      <c r="IH130" s="14"/>
      <c r="II130" s="14"/>
      <c r="IJ130" s="14"/>
      <c r="IK130" s="14"/>
      <c r="IL130" s="14"/>
      <c r="IM130" s="14"/>
      <c r="IN130" s="14"/>
      <c r="IO130" s="14"/>
      <c r="IP130" s="14"/>
      <c r="IQ130" s="14"/>
      <c r="IR130" s="14"/>
      <c r="IS130" s="14"/>
      <c r="IT130" s="14"/>
      <c r="IU130" s="14"/>
      <c r="IV130" s="14"/>
    </row>
    <row r="131" spans="1:256" s="290" customFormat="1" ht="38.25" x14ac:dyDescent="0.3">
      <c r="A131" s="69"/>
      <c r="B131" s="8"/>
      <c r="C131" s="113" t="s">
        <v>1484</v>
      </c>
      <c r="D131" s="271" t="s">
        <v>44</v>
      </c>
      <c r="E131" s="63" t="s">
        <v>45</v>
      </c>
      <c r="F131" s="72">
        <v>7</v>
      </c>
      <c r="G131" s="46">
        <v>28000</v>
      </c>
      <c r="H131" s="355">
        <v>1</v>
      </c>
      <c r="I131" s="354">
        <v>1.1479999999999999</v>
      </c>
      <c r="J131" s="378">
        <f t="shared" si="9"/>
        <v>225000</v>
      </c>
      <c r="K131" s="39">
        <f t="shared" si="5"/>
        <v>225000</v>
      </c>
      <c r="L131" s="261">
        <f t="shared" si="7"/>
        <v>0</v>
      </c>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N131" s="14"/>
      <c r="DO131" s="14"/>
      <c r="DP131" s="14"/>
      <c r="DQ131" s="14"/>
      <c r="DR131" s="14"/>
      <c r="DS131" s="14"/>
      <c r="DT131" s="14"/>
      <c r="DU131" s="14"/>
      <c r="DV131" s="14"/>
      <c r="DW131" s="14"/>
      <c r="DX131" s="14"/>
      <c r="DY131" s="14"/>
      <c r="DZ131" s="14"/>
      <c r="EA131" s="14"/>
      <c r="EB131" s="14"/>
      <c r="EC131" s="14"/>
      <c r="ED131" s="14"/>
      <c r="EE131" s="14"/>
      <c r="EF131" s="14"/>
      <c r="EG131" s="14"/>
      <c r="EH131" s="14"/>
      <c r="EI131" s="14"/>
      <c r="EJ131" s="14"/>
      <c r="EK131" s="14"/>
      <c r="EL131" s="14"/>
      <c r="EM131" s="14"/>
      <c r="EN131" s="14"/>
      <c r="EO131" s="14"/>
      <c r="EP131" s="14"/>
      <c r="EQ131" s="14"/>
      <c r="ER131" s="14"/>
      <c r="ES131" s="14"/>
      <c r="ET131" s="14"/>
      <c r="EU131" s="14"/>
      <c r="EV131" s="14"/>
      <c r="EW131" s="14"/>
      <c r="EX131" s="14"/>
      <c r="EY131" s="14"/>
      <c r="EZ131" s="14"/>
      <c r="FA131" s="14"/>
      <c r="FB131" s="14"/>
      <c r="FC131" s="14"/>
      <c r="FD131" s="14"/>
      <c r="FE131" s="14"/>
      <c r="FF131" s="14"/>
      <c r="FG131" s="14"/>
      <c r="FH131" s="14"/>
      <c r="FI131" s="14"/>
      <c r="FJ131" s="14"/>
      <c r="FK131" s="14"/>
      <c r="FL131" s="14"/>
      <c r="FM131" s="14"/>
      <c r="FN131" s="14"/>
      <c r="FO131" s="14"/>
      <c r="FP131" s="14"/>
      <c r="FQ131" s="14"/>
      <c r="FR131" s="14"/>
      <c r="FS131" s="14"/>
      <c r="FT131" s="14"/>
      <c r="FU131" s="14"/>
      <c r="FV131" s="14"/>
      <c r="FW131" s="14"/>
      <c r="FX131" s="14"/>
      <c r="FY131" s="14"/>
      <c r="FZ131" s="14"/>
      <c r="GA131" s="14"/>
      <c r="GB131" s="14"/>
      <c r="GC131" s="14"/>
      <c r="GD131" s="14"/>
      <c r="GE131" s="14"/>
      <c r="GF131" s="14"/>
      <c r="GG131" s="14"/>
      <c r="GH131" s="14"/>
      <c r="GI131" s="14"/>
      <c r="GJ131" s="14"/>
      <c r="GK131" s="14"/>
      <c r="GL131" s="14"/>
      <c r="GM131" s="14"/>
      <c r="GN131" s="14"/>
      <c r="GO131" s="14"/>
      <c r="GP131" s="14"/>
      <c r="GQ131" s="14"/>
      <c r="GR131" s="14"/>
      <c r="GS131" s="14"/>
      <c r="GT131" s="14"/>
      <c r="GU131" s="14"/>
      <c r="GV131" s="14"/>
      <c r="GW131" s="14"/>
      <c r="GX131" s="14"/>
      <c r="GY131" s="14"/>
      <c r="GZ131" s="14"/>
      <c r="HA131" s="14"/>
      <c r="HB131" s="14"/>
      <c r="HC131" s="14"/>
      <c r="HD131" s="14"/>
      <c r="HE131" s="14"/>
      <c r="HF131" s="14"/>
      <c r="HG131" s="14"/>
      <c r="HH131" s="14"/>
      <c r="HI131" s="14"/>
      <c r="HJ131" s="14"/>
      <c r="HK131" s="14"/>
      <c r="HL131" s="14"/>
      <c r="HM131" s="14"/>
      <c r="HN131" s="14"/>
      <c r="HO131" s="14"/>
      <c r="HP131" s="14"/>
      <c r="HQ131" s="14"/>
      <c r="HR131" s="14"/>
      <c r="HS131" s="14"/>
      <c r="HT131" s="14"/>
      <c r="HU131" s="14"/>
      <c r="HV131" s="14"/>
      <c r="HW131" s="14"/>
      <c r="HX131" s="14"/>
      <c r="HY131" s="14"/>
      <c r="HZ131" s="14"/>
      <c r="IA131" s="14"/>
      <c r="IB131" s="14"/>
      <c r="IC131" s="14"/>
      <c r="ID131" s="14"/>
      <c r="IE131" s="14"/>
      <c r="IF131" s="14"/>
      <c r="IG131" s="14"/>
      <c r="IH131" s="14"/>
      <c r="II131" s="14"/>
      <c r="IJ131" s="14"/>
      <c r="IK131" s="14"/>
      <c r="IL131" s="14"/>
      <c r="IM131" s="14"/>
      <c r="IN131" s="14"/>
      <c r="IO131" s="14"/>
      <c r="IP131" s="14"/>
      <c r="IQ131" s="14"/>
      <c r="IR131" s="14"/>
      <c r="IS131" s="14"/>
      <c r="IT131" s="14"/>
      <c r="IU131" s="14"/>
      <c r="IV131" s="14"/>
    </row>
    <row r="132" spans="1:256" ht="61.5" customHeight="1" x14ac:dyDescent="0.3">
      <c r="A132" s="149">
        <v>5</v>
      </c>
      <c r="B132" s="150" t="s">
        <v>1161</v>
      </c>
      <c r="C132" s="455" t="s">
        <v>1162</v>
      </c>
      <c r="D132" s="456"/>
      <c r="E132" s="456"/>
      <c r="F132" s="456"/>
      <c r="G132" s="456"/>
      <c r="H132" s="456"/>
      <c r="I132" s="457"/>
      <c r="J132" s="221">
        <f>SUM(J133:J152)</f>
        <v>744120000</v>
      </c>
      <c r="K132" s="39">
        <f t="shared" si="5"/>
        <v>0</v>
      </c>
      <c r="L132" s="261">
        <f t="shared" si="7"/>
        <v>744120000</v>
      </c>
      <c r="M132" s="24"/>
    </row>
    <row r="133" spans="1:256" s="290" customFormat="1" ht="56.25" x14ac:dyDescent="0.3">
      <c r="A133" s="211"/>
      <c r="B133" s="17"/>
      <c r="C133" s="25" t="s">
        <v>1163</v>
      </c>
      <c r="D133" s="267" t="s">
        <v>112</v>
      </c>
      <c r="E133" s="27" t="s">
        <v>23</v>
      </c>
      <c r="F133" s="35">
        <v>38.1</v>
      </c>
      <c r="G133" s="49">
        <v>11100000</v>
      </c>
      <c r="H133" s="323">
        <v>1</v>
      </c>
      <c r="I133" s="268">
        <v>1.4</v>
      </c>
      <c r="J133" s="32">
        <f>ROUND(F133*G133*H133*I133,-3)</f>
        <v>592074000</v>
      </c>
      <c r="K133" s="39">
        <f t="shared" si="5"/>
        <v>592074000</v>
      </c>
      <c r="L133" s="262">
        <f t="shared" si="7"/>
        <v>0</v>
      </c>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c r="FC133" s="14"/>
      <c r="FD133" s="14"/>
      <c r="FE133" s="14"/>
      <c r="FF133" s="14"/>
      <c r="FG133" s="14"/>
      <c r="FH133" s="14"/>
      <c r="FI133" s="14"/>
      <c r="FJ133" s="14"/>
      <c r="FK133" s="14"/>
      <c r="FL133" s="14"/>
      <c r="FM133" s="14"/>
      <c r="FN133" s="14"/>
      <c r="FO133" s="14"/>
      <c r="FP133" s="14"/>
      <c r="FQ133" s="14"/>
      <c r="FR133" s="14"/>
      <c r="FS133" s="14"/>
      <c r="FT133" s="14"/>
      <c r="FU133" s="14"/>
      <c r="FV133" s="14"/>
      <c r="FW133" s="14"/>
      <c r="FX133" s="14"/>
      <c r="FY133" s="14"/>
      <c r="FZ133" s="14"/>
      <c r="GA133" s="14"/>
      <c r="GB133" s="14"/>
      <c r="GC133" s="14"/>
      <c r="GD133" s="14"/>
      <c r="GE133" s="14"/>
      <c r="GF133" s="14"/>
      <c r="GG133" s="14"/>
      <c r="GH133" s="14"/>
      <c r="GI133" s="14"/>
      <c r="GJ133" s="14"/>
      <c r="GK133" s="14"/>
      <c r="GL133" s="14"/>
      <c r="GM133" s="14"/>
      <c r="GN133" s="14"/>
      <c r="GO133" s="14"/>
      <c r="GP133" s="14"/>
      <c r="GQ133" s="14"/>
      <c r="GR133" s="14"/>
      <c r="GS133" s="14"/>
      <c r="GT133" s="14"/>
      <c r="GU133" s="14"/>
      <c r="GV133" s="14"/>
      <c r="GW133" s="14"/>
      <c r="GX133" s="14"/>
      <c r="GY133" s="14"/>
      <c r="GZ133" s="14"/>
      <c r="HA133" s="14"/>
      <c r="HB133" s="14"/>
      <c r="HC133" s="14"/>
      <c r="HD133" s="14"/>
      <c r="HE133" s="14"/>
      <c r="HF133" s="14"/>
      <c r="HG133" s="14"/>
      <c r="HH133" s="14"/>
      <c r="HI133" s="14"/>
      <c r="HJ133" s="14"/>
      <c r="HK133" s="14"/>
      <c r="HL133" s="14"/>
      <c r="HM133" s="14"/>
      <c r="HN133" s="14"/>
      <c r="HO133" s="14"/>
      <c r="HP133" s="14"/>
      <c r="HQ133" s="14"/>
      <c r="HR133" s="14"/>
      <c r="HS133" s="14"/>
      <c r="HT133" s="14"/>
      <c r="HU133" s="14"/>
      <c r="HV133" s="14"/>
      <c r="HW133" s="14"/>
      <c r="HX133" s="14"/>
      <c r="HY133" s="14"/>
      <c r="HZ133" s="14"/>
      <c r="IA133" s="14"/>
      <c r="IB133" s="14"/>
      <c r="IC133" s="14"/>
      <c r="ID133" s="14"/>
      <c r="IE133" s="14"/>
      <c r="IF133" s="14"/>
      <c r="IG133" s="14"/>
      <c r="IH133" s="14"/>
      <c r="II133" s="14"/>
      <c r="IJ133" s="14"/>
      <c r="IK133" s="14"/>
      <c r="IL133" s="14"/>
      <c r="IM133" s="14"/>
      <c r="IN133" s="14"/>
      <c r="IO133" s="14"/>
      <c r="IP133" s="14"/>
      <c r="IQ133" s="14"/>
      <c r="IR133" s="14"/>
      <c r="IS133" s="14"/>
      <c r="IT133" s="14"/>
      <c r="IU133" s="14"/>
      <c r="IV133" s="14"/>
    </row>
    <row r="134" spans="1:256" ht="90" customHeight="1" x14ac:dyDescent="0.25">
      <c r="A134" s="67"/>
      <c r="B134" s="68"/>
      <c r="C134" s="25" t="s">
        <v>1062</v>
      </c>
      <c r="D134" s="267" t="s">
        <v>112</v>
      </c>
      <c r="E134" s="27" t="s">
        <v>23</v>
      </c>
      <c r="F134" s="35">
        <v>4.4000000000000004</v>
      </c>
      <c r="G134" s="464" t="s">
        <v>1063</v>
      </c>
      <c r="H134" s="464"/>
      <c r="I134" s="465"/>
      <c r="J134" s="227"/>
      <c r="K134" s="39"/>
      <c r="L134" s="261">
        <f t="shared" si="7"/>
        <v>0</v>
      </c>
      <c r="M134" s="251"/>
    </row>
    <row r="135" spans="1:256" ht="38.25" x14ac:dyDescent="0.3">
      <c r="A135" s="69"/>
      <c r="B135" s="8"/>
      <c r="C135" s="82" t="s">
        <v>1164</v>
      </c>
      <c r="D135" s="267" t="s">
        <v>26</v>
      </c>
      <c r="E135" s="27" t="s">
        <v>23</v>
      </c>
      <c r="F135" s="89">
        <f>2.6*3</f>
        <v>7.8000000000000007</v>
      </c>
      <c r="G135" s="29">
        <v>679000</v>
      </c>
      <c r="H135" s="45">
        <v>1</v>
      </c>
      <c r="I135" s="31">
        <v>1.1479999999999999</v>
      </c>
      <c r="J135" s="223">
        <f t="shared" ref="J135:J152" si="10">ROUND(F135*G135*H135*I135,-3)</f>
        <v>6080000</v>
      </c>
      <c r="K135" s="39">
        <f t="shared" ref="K135:K198" si="11">ROUND(F135*G135*H135*I135,-3)</f>
        <v>6080000</v>
      </c>
      <c r="L135" s="261">
        <f t="shared" si="7"/>
        <v>0</v>
      </c>
      <c r="M135" s="14"/>
    </row>
    <row r="136" spans="1:256" ht="37.5" x14ac:dyDescent="0.3">
      <c r="A136" s="69"/>
      <c r="B136" s="8"/>
      <c r="C136" s="82" t="s">
        <v>1165</v>
      </c>
      <c r="D136" s="270" t="s">
        <v>51</v>
      </c>
      <c r="E136" s="27" t="s">
        <v>23</v>
      </c>
      <c r="F136" s="72">
        <f>6*8.3</f>
        <v>49.800000000000004</v>
      </c>
      <c r="G136" s="29">
        <v>453000</v>
      </c>
      <c r="H136" s="45">
        <v>1</v>
      </c>
      <c r="I136" s="31">
        <v>1.1479999999999999</v>
      </c>
      <c r="J136" s="223">
        <f t="shared" si="10"/>
        <v>25898000</v>
      </c>
      <c r="K136" s="39">
        <f t="shared" si="11"/>
        <v>25898000</v>
      </c>
      <c r="L136" s="261">
        <f t="shared" si="7"/>
        <v>0</v>
      </c>
      <c r="M136" s="14"/>
    </row>
    <row r="137" spans="1:256" ht="25.5" x14ac:dyDescent="0.3">
      <c r="A137" s="69"/>
      <c r="B137" s="8"/>
      <c r="C137" s="82" t="s">
        <v>1166</v>
      </c>
      <c r="D137" s="271" t="s">
        <v>54</v>
      </c>
      <c r="E137" s="27" t="s">
        <v>23</v>
      </c>
      <c r="F137" s="72">
        <f>4.1*2.8</f>
        <v>11.479999999999999</v>
      </c>
      <c r="G137" s="46">
        <v>213000</v>
      </c>
      <c r="H137" s="45">
        <v>1</v>
      </c>
      <c r="I137" s="31">
        <v>1.1479999999999999</v>
      </c>
      <c r="J137" s="223">
        <f t="shared" si="10"/>
        <v>2807000</v>
      </c>
      <c r="K137" s="39">
        <f t="shared" si="11"/>
        <v>2807000</v>
      </c>
      <c r="L137" s="261">
        <f t="shared" si="7"/>
        <v>0</v>
      </c>
      <c r="M137" s="14"/>
    </row>
    <row r="138" spans="1:256" ht="38.25" x14ac:dyDescent="0.3">
      <c r="A138" s="69"/>
      <c r="B138" s="8"/>
      <c r="C138" s="82" t="s">
        <v>1167</v>
      </c>
      <c r="D138" s="271" t="s">
        <v>32</v>
      </c>
      <c r="E138" s="27" t="s">
        <v>23</v>
      </c>
      <c r="F138" s="72">
        <f>5.1*6</f>
        <v>30.599999999999998</v>
      </c>
      <c r="G138" s="29">
        <v>215000</v>
      </c>
      <c r="H138" s="45">
        <v>0.8</v>
      </c>
      <c r="I138" s="31">
        <v>1.1479999999999999</v>
      </c>
      <c r="J138" s="223">
        <f t="shared" si="10"/>
        <v>6042000</v>
      </c>
      <c r="K138" s="39">
        <f t="shared" si="11"/>
        <v>6042000</v>
      </c>
      <c r="L138" s="261">
        <f t="shared" si="7"/>
        <v>0</v>
      </c>
      <c r="M138" s="14"/>
    </row>
    <row r="139" spans="1:256" ht="38.25" x14ac:dyDescent="0.3">
      <c r="A139" s="69"/>
      <c r="B139" s="8"/>
      <c r="C139" s="82" t="s">
        <v>1168</v>
      </c>
      <c r="D139" s="271" t="s">
        <v>32</v>
      </c>
      <c r="E139" s="27" t="s">
        <v>23</v>
      </c>
      <c r="F139" s="72">
        <f>7.3*6</f>
        <v>43.8</v>
      </c>
      <c r="G139" s="29">
        <v>215000</v>
      </c>
      <c r="H139" s="45">
        <v>1</v>
      </c>
      <c r="I139" s="31">
        <v>1.1479999999999999</v>
      </c>
      <c r="J139" s="223">
        <f t="shared" si="10"/>
        <v>10811000</v>
      </c>
      <c r="K139" s="39">
        <f t="shared" si="11"/>
        <v>10811000</v>
      </c>
      <c r="L139" s="261">
        <f t="shared" si="7"/>
        <v>0</v>
      </c>
      <c r="M139" s="14"/>
    </row>
    <row r="140" spans="1:256" ht="40.5" customHeight="1" x14ac:dyDescent="0.3">
      <c r="A140" s="69"/>
      <c r="B140" s="8"/>
      <c r="C140" s="82" t="s">
        <v>1169</v>
      </c>
      <c r="D140" s="270" t="s">
        <v>101</v>
      </c>
      <c r="E140" s="71" t="s">
        <v>23</v>
      </c>
      <c r="F140" s="72">
        <f>3.1*4.3</f>
        <v>13.33</v>
      </c>
      <c r="G140" s="29">
        <v>339000</v>
      </c>
      <c r="H140" s="45">
        <v>1</v>
      </c>
      <c r="I140" s="31">
        <v>1.1479999999999999</v>
      </c>
      <c r="J140" s="223">
        <f t="shared" si="10"/>
        <v>5188000</v>
      </c>
      <c r="K140" s="39">
        <f t="shared" si="11"/>
        <v>5188000</v>
      </c>
      <c r="L140" s="261">
        <f t="shared" si="7"/>
        <v>0</v>
      </c>
      <c r="M140" s="14"/>
    </row>
    <row r="141" spans="1:256" ht="36.75" customHeight="1" x14ac:dyDescent="0.3">
      <c r="A141" s="69"/>
      <c r="B141" s="8"/>
      <c r="C141" s="82" t="s">
        <v>1170</v>
      </c>
      <c r="D141" s="270" t="s">
        <v>52</v>
      </c>
      <c r="E141" s="96" t="s">
        <v>91</v>
      </c>
      <c r="F141" s="72">
        <f>2*3+1.8*4.3</f>
        <v>13.74</v>
      </c>
      <c r="G141" s="11" t="s">
        <v>53</v>
      </c>
      <c r="H141" s="45">
        <v>1</v>
      </c>
      <c r="I141" s="31">
        <v>1.1479999999999999</v>
      </c>
      <c r="J141" s="223">
        <f t="shared" si="10"/>
        <v>3723000</v>
      </c>
      <c r="K141" s="39">
        <f t="shared" si="11"/>
        <v>3723000</v>
      </c>
      <c r="L141" s="261">
        <f t="shared" si="7"/>
        <v>0</v>
      </c>
      <c r="M141" s="14"/>
    </row>
    <row r="142" spans="1:256" ht="38.25" x14ac:dyDescent="0.3">
      <c r="A142" s="69"/>
      <c r="B142" s="8"/>
      <c r="C142" s="143" t="s">
        <v>1171</v>
      </c>
      <c r="D142" s="267" t="s">
        <v>56</v>
      </c>
      <c r="E142" s="27" t="s">
        <v>23</v>
      </c>
      <c r="F142" s="28">
        <f>3*3</f>
        <v>9</v>
      </c>
      <c r="G142" s="29">
        <v>735000</v>
      </c>
      <c r="H142" s="45">
        <v>1</v>
      </c>
      <c r="I142" s="31">
        <v>1.1479999999999999</v>
      </c>
      <c r="J142" s="223">
        <f t="shared" si="10"/>
        <v>7594000</v>
      </c>
      <c r="K142" s="39">
        <f t="shared" si="11"/>
        <v>7594000</v>
      </c>
      <c r="L142" s="261">
        <f t="shared" si="7"/>
        <v>0</v>
      </c>
      <c r="M142" s="14"/>
    </row>
    <row r="143" spans="1:256" ht="25.5" x14ac:dyDescent="0.3">
      <c r="A143" s="104"/>
      <c r="B143" s="105"/>
      <c r="C143" s="113" t="s">
        <v>1172</v>
      </c>
      <c r="D143" s="270" t="s">
        <v>29</v>
      </c>
      <c r="E143" s="27" t="s">
        <v>23</v>
      </c>
      <c r="F143" s="123">
        <f>(4.4*7.7)*2</f>
        <v>67.760000000000005</v>
      </c>
      <c r="G143" s="29">
        <v>792000</v>
      </c>
      <c r="H143" s="45">
        <v>1</v>
      </c>
      <c r="I143" s="31">
        <v>1.1479999999999999</v>
      </c>
      <c r="J143" s="223">
        <f t="shared" si="10"/>
        <v>61608000</v>
      </c>
      <c r="K143" s="39">
        <f t="shared" si="11"/>
        <v>61608000</v>
      </c>
      <c r="L143" s="261">
        <f t="shared" si="7"/>
        <v>0</v>
      </c>
      <c r="M143" s="14"/>
    </row>
    <row r="144" spans="1:256" ht="25.5" x14ac:dyDescent="0.3">
      <c r="A144" s="69"/>
      <c r="B144" s="8"/>
      <c r="C144" s="82" t="s">
        <v>1173</v>
      </c>
      <c r="D144" s="270" t="s">
        <v>55</v>
      </c>
      <c r="E144" s="27" t="s">
        <v>23</v>
      </c>
      <c r="F144" s="91">
        <f>6*1.2</f>
        <v>7.1999999999999993</v>
      </c>
      <c r="G144" s="29">
        <v>905000</v>
      </c>
      <c r="H144" s="45">
        <v>1</v>
      </c>
      <c r="I144" s="79">
        <v>1.1479999999999999</v>
      </c>
      <c r="J144" s="223">
        <f t="shared" si="10"/>
        <v>7480000</v>
      </c>
      <c r="K144" s="39">
        <f t="shared" si="11"/>
        <v>7480000</v>
      </c>
      <c r="L144" s="261"/>
      <c r="M144" s="14"/>
    </row>
    <row r="145" spans="1:256" ht="25.5" x14ac:dyDescent="0.3">
      <c r="A145" s="69"/>
      <c r="B145" s="8"/>
      <c r="C145" s="82" t="s">
        <v>1174</v>
      </c>
      <c r="D145" s="271" t="s">
        <v>54</v>
      </c>
      <c r="E145" s="27" t="s">
        <v>23</v>
      </c>
      <c r="F145" s="72">
        <f>3*1+4.3*1.2+3*3+0.9*6</f>
        <v>22.560000000000002</v>
      </c>
      <c r="G145" s="46">
        <v>213000</v>
      </c>
      <c r="H145" s="45">
        <v>1</v>
      </c>
      <c r="I145" s="57">
        <v>1.1479999999999999</v>
      </c>
      <c r="J145" s="223">
        <f t="shared" si="10"/>
        <v>5516000</v>
      </c>
      <c r="K145" s="39">
        <f t="shared" si="11"/>
        <v>5516000</v>
      </c>
      <c r="L145" s="261">
        <f t="shared" ref="L145:L208" si="12">J145-K145</f>
        <v>0</v>
      </c>
      <c r="M145" s="14"/>
    </row>
    <row r="146" spans="1:256" ht="35.25" customHeight="1" x14ac:dyDescent="0.3">
      <c r="A146" s="69"/>
      <c r="B146" s="8"/>
      <c r="C146" s="82" t="s">
        <v>1175</v>
      </c>
      <c r="D146" s="270" t="s">
        <v>28</v>
      </c>
      <c r="E146" s="27" t="s">
        <v>23</v>
      </c>
      <c r="F146" s="72">
        <f>(0.4*7.7)*2</f>
        <v>6.16</v>
      </c>
      <c r="G146" s="11">
        <v>396000</v>
      </c>
      <c r="H146" s="45">
        <v>1</v>
      </c>
      <c r="I146" s="31">
        <v>1.1479999999999999</v>
      </c>
      <c r="J146" s="223">
        <f t="shared" si="10"/>
        <v>2800000</v>
      </c>
      <c r="K146" s="39">
        <f t="shared" si="11"/>
        <v>2800000</v>
      </c>
      <c r="L146" s="262">
        <f t="shared" si="12"/>
        <v>0</v>
      </c>
      <c r="M146" s="14"/>
    </row>
    <row r="147" spans="1:256" ht="38.25" x14ac:dyDescent="0.3">
      <c r="A147" s="153"/>
      <c r="B147" s="154"/>
      <c r="C147" s="155" t="s">
        <v>1176</v>
      </c>
      <c r="D147" s="267" t="s">
        <v>24</v>
      </c>
      <c r="E147" s="27" t="s">
        <v>25</v>
      </c>
      <c r="F147" s="156">
        <f>(0.2*0.2*4.2)*6</f>
        <v>1.0080000000000002</v>
      </c>
      <c r="G147" s="29">
        <v>2828000</v>
      </c>
      <c r="H147" s="45">
        <v>1</v>
      </c>
      <c r="I147" s="31">
        <v>1.1479999999999999</v>
      </c>
      <c r="J147" s="223">
        <f t="shared" si="10"/>
        <v>3273000</v>
      </c>
      <c r="K147" s="39">
        <f t="shared" si="11"/>
        <v>3273000</v>
      </c>
      <c r="L147" s="261">
        <f t="shared" si="12"/>
        <v>0</v>
      </c>
      <c r="M147" s="24"/>
    </row>
    <row r="148" spans="1:256" ht="39" customHeight="1" x14ac:dyDescent="0.3">
      <c r="A148" s="69"/>
      <c r="B148" s="8"/>
      <c r="C148" s="82" t="s">
        <v>1177</v>
      </c>
      <c r="D148" s="272" t="s">
        <v>33</v>
      </c>
      <c r="E148" s="27" t="s">
        <v>23</v>
      </c>
      <c r="F148" s="72">
        <f>0.6*6</f>
        <v>3.5999999999999996</v>
      </c>
      <c r="G148" s="29">
        <v>453000</v>
      </c>
      <c r="H148" s="45">
        <v>1</v>
      </c>
      <c r="I148" s="31">
        <v>1.1479999999999999</v>
      </c>
      <c r="J148" s="223">
        <f t="shared" si="10"/>
        <v>1872000</v>
      </c>
      <c r="K148" s="39">
        <f t="shared" si="11"/>
        <v>1872000</v>
      </c>
      <c r="L148" s="261">
        <f t="shared" si="12"/>
        <v>0</v>
      </c>
      <c r="M148" s="14"/>
    </row>
    <row r="149" spans="1:256" ht="25.5" x14ac:dyDescent="0.3">
      <c r="A149" s="69"/>
      <c r="B149" s="8"/>
      <c r="C149" s="82" t="s">
        <v>1178</v>
      </c>
      <c r="D149" s="192" t="s">
        <v>58</v>
      </c>
      <c r="E149" s="27" t="s">
        <v>35</v>
      </c>
      <c r="F149" s="98">
        <v>1</v>
      </c>
      <c r="G149" s="29">
        <v>266280</v>
      </c>
      <c r="H149" s="50">
        <v>1</v>
      </c>
      <c r="I149" s="51">
        <v>1</v>
      </c>
      <c r="J149" s="223">
        <f t="shared" si="10"/>
        <v>266000</v>
      </c>
      <c r="K149" s="39">
        <f t="shared" si="11"/>
        <v>266000</v>
      </c>
      <c r="L149" s="261">
        <f t="shared" si="12"/>
        <v>0</v>
      </c>
      <c r="M149" s="14"/>
    </row>
    <row r="150" spans="1:256" ht="25.5" x14ac:dyDescent="0.3">
      <c r="A150" s="69"/>
      <c r="B150" s="8"/>
      <c r="C150" s="82" t="s">
        <v>1179</v>
      </c>
      <c r="D150" s="271" t="s">
        <v>205</v>
      </c>
      <c r="E150" s="27" t="s">
        <v>35</v>
      </c>
      <c r="F150" s="98">
        <v>2</v>
      </c>
      <c r="G150" s="29">
        <v>223240</v>
      </c>
      <c r="H150" s="50">
        <v>1</v>
      </c>
      <c r="I150" s="51">
        <v>1</v>
      </c>
      <c r="J150" s="223">
        <f t="shared" si="10"/>
        <v>446000</v>
      </c>
      <c r="K150" s="39">
        <f t="shared" si="11"/>
        <v>446000</v>
      </c>
      <c r="L150" s="261">
        <f t="shared" si="12"/>
        <v>0</v>
      </c>
      <c r="M150" s="14"/>
    </row>
    <row r="151" spans="1:256" ht="38.25" x14ac:dyDescent="0.3">
      <c r="A151" s="69"/>
      <c r="B151" s="8"/>
      <c r="C151" s="82" t="s">
        <v>111</v>
      </c>
      <c r="D151" s="271" t="s">
        <v>47</v>
      </c>
      <c r="E151" s="63" t="s">
        <v>45</v>
      </c>
      <c r="F151" s="77">
        <v>10</v>
      </c>
      <c r="G151" s="46">
        <v>28000</v>
      </c>
      <c r="H151" s="45">
        <v>1</v>
      </c>
      <c r="I151" s="31">
        <v>1.1479999999999999</v>
      </c>
      <c r="J151" s="223">
        <f t="shared" si="10"/>
        <v>321000</v>
      </c>
      <c r="K151" s="39">
        <f t="shared" si="11"/>
        <v>321000</v>
      </c>
      <c r="L151" s="261">
        <f t="shared" si="12"/>
        <v>0</v>
      </c>
      <c r="M151" s="14"/>
    </row>
    <row r="152" spans="1:256" ht="38.25" x14ac:dyDescent="0.3">
      <c r="A152" s="69"/>
      <c r="B152" s="8"/>
      <c r="C152" s="82" t="s">
        <v>110</v>
      </c>
      <c r="D152" s="271" t="s">
        <v>47</v>
      </c>
      <c r="E152" s="63" t="s">
        <v>45</v>
      </c>
      <c r="F152" s="77">
        <v>10</v>
      </c>
      <c r="G152" s="46">
        <v>28000</v>
      </c>
      <c r="H152" s="45">
        <v>1</v>
      </c>
      <c r="I152" s="31">
        <v>1.1479999999999999</v>
      </c>
      <c r="J152" s="223">
        <f t="shared" si="10"/>
        <v>321000</v>
      </c>
      <c r="K152" s="39">
        <f t="shared" si="11"/>
        <v>321000</v>
      </c>
      <c r="L152" s="261">
        <f t="shared" si="12"/>
        <v>0</v>
      </c>
      <c r="M152" s="14"/>
    </row>
    <row r="153" spans="1:256" s="290" customFormat="1" ht="49.5" customHeight="1" x14ac:dyDescent="0.3">
      <c r="A153" s="211">
        <v>6</v>
      </c>
      <c r="B153" s="17" t="s">
        <v>1485</v>
      </c>
      <c r="C153" s="433" t="s">
        <v>1486</v>
      </c>
      <c r="D153" s="434"/>
      <c r="E153" s="434"/>
      <c r="F153" s="434"/>
      <c r="G153" s="434"/>
      <c r="H153" s="434"/>
      <c r="I153" s="435"/>
      <c r="J153" s="349">
        <f>SUM(J154:J167)</f>
        <v>1059937000</v>
      </c>
      <c r="K153" s="39">
        <f t="shared" si="11"/>
        <v>0</v>
      </c>
      <c r="L153" s="261">
        <f t="shared" si="12"/>
        <v>1059937000</v>
      </c>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c r="HM153" s="14"/>
      <c r="HN153" s="14"/>
      <c r="HO153" s="14"/>
      <c r="HP153" s="14"/>
      <c r="HQ153" s="14"/>
      <c r="HR153" s="14"/>
      <c r="HS153" s="14"/>
      <c r="HT153" s="14"/>
      <c r="HU153" s="14"/>
      <c r="HV153" s="14"/>
      <c r="HW153" s="14"/>
      <c r="HX153" s="14"/>
      <c r="HY153" s="14"/>
      <c r="HZ153" s="14"/>
      <c r="IA153" s="14"/>
      <c r="IB153" s="14"/>
      <c r="IC153" s="14"/>
      <c r="ID153" s="14"/>
      <c r="IE153" s="14"/>
      <c r="IF153" s="14"/>
      <c r="IG153" s="14"/>
      <c r="IH153" s="14"/>
      <c r="II153" s="14"/>
      <c r="IJ153" s="14"/>
      <c r="IK153" s="14"/>
      <c r="IL153" s="14"/>
      <c r="IM153" s="14"/>
      <c r="IN153" s="14"/>
      <c r="IO153" s="14"/>
      <c r="IP153" s="14"/>
      <c r="IQ153" s="14"/>
      <c r="IR153" s="14"/>
      <c r="IS153" s="14"/>
      <c r="IT153" s="14"/>
      <c r="IU153" s="14"/>
      <c r="IV153" s="14"/>
    </row>
    <row r="154" spans="1:256" s="397" customFormat="1" ht="56.25" x14ac:dyDescent="0.3">
      <c r="A154" s="414"/>
      <c r="B154" s="415"/>
      <c r="C154" s="128" t="s">
        <v>1440</v>
      </c>
      <c r="D154" s="277" t="s">
        <v>112</v>
      </c>
      <c r="E154" s="182" t="s">
        <v>828</v>
      </c>
      <c r="F154" s="309">
        <v>50.1</v>
      </c>
      <c r="G154" s="350">
        <v>11100000</v>
      </c>
      <c r="H154" s="351">
        <v>1</v>
      </c>
      <c r="I154" s="352">
        <v>1.4</v>
      </c>
      <c r="J154" s="130">
        <f>ROUND(F154*G154*H154*I154,-3)</f>
        <v>778554000</v>
      </c>
      <c r="K154" s="39">
        <f t="shared" si="11"/>
        <v>778554000</v>
      </c>
      <c r="L154" s="395">
        <f t="shared" si="12"/>
        <v>0</v>
      </c>
      <c r="M154" s="396"/>
      <c r="N154" s="396"/>
      <c r="O154" s="396"/>
      <c r="P154" s="396"/>
      <c r="Q154" s="396"/>
      <c r="R154" s="396"/>
      <c r="S154" s="396"/>
      <c r="T154" s="396"/>
      <c r="U154" s="396"/>
      <c r="V154" s="396"/>
      <c r="W154" s="396"/>
      <c r="X154" s="396"/>
      <c r="Y154" s="396"/>
      <c r="Z154" s="396"/>
      <c r="AA154" s="396"/>
      <c r="AB154" s="396"/>
      <c r="AC154" s="396"/>
      <c r="AD154" s="396"/>
      <c r="AE154" s="396"/>
      <c r="AF154" s="396"/>
      <c r="AG154" s="396"/>
      <c r="AH154" s="396"/>
      <c r="AI154" s="396"/>
      <c r="AJ154" s="396"/>
      <c r="AK154" s="396"/>
      <c r="AL154" s="396"/>
      <c r="AM154" s="396"/>
      <c r="AN154" s="396"/>
      <c r="AO154" s="396"/>
      <c r="AP154" s="396"/>
      <c r="AQ154" s="396"/>
      <c r="AR154" s="396"/>
      <c r="AS154" s="396"/>
      <c r="AT154" s="396"/>
      <c r="AU154" s="396"/>
      <c r="AV154" s="396"/>
      <c r="AW154" s="396"/>
      <c r="AX154" s="396"/>
      <c r="AY154" s="396"/>
      <c r="AZ154" s="396"/>
      <c r="BA154" s="396"/>
      <c r="BB154" s="396"/>
      <c r="BC154" s="396"/>
      <c r="BD154" s="396"/>
      <c r="BE154" s="396"/>
      <c r="BF154" s="396"/>
      <c r="BG154" s="396"/>
      <c r="BH154" s="396"/>
      <c r="BI154" s="396"/>
      <c r="BJ154" s="396"/>
      <c r="BK154" s="396"/>
      <c r="BL154" s="396"/>
      <c r="BM154" s="396"/>
      <c r="BN154" s="396"/>
      <c r="BO154" s="396"/>
      <c r="BP154" s="396"/>
      <c r="BQ154" s="396"/>
      <c r="BR154" s="396"/>
      <c r="BS154" s="396"/>
      <c r="BT154" s="396"/>
      <c r="BU154" s="396"/>
      <c r="BV154" s="396"/>
      <c r="BW154" s="396"/>
      <c r="BX154" s="396"/>
      <c r="BY154" s="396"/>
      <c r="BZ154" s="396"/>
      <c r="CA154" s="396"/>
      <c r="CB154" s="396"/>
      <c r="CC154" s="396"/>
      <c r="CD154" s="396"/>
      <c r="CE154" s="396"/>
      <c r="CF154" s="396"/>
      <c r="CG154" s="396"/>
      <c r="CH154" s="396"/>
      <c r="CI154" s="396"/>
      <c r="CJ154" s="396"/>
      <c r="CK154" s="396"/>
      <c r="CL154" s="396"/>
      <c r="CM154" s="396"/>
      <c r="CN154" s="396"/>
      <c r="CO154" s="396"/>
      <c r="CP154" s="396"/>
      <c r="CQ154" s="396"/>
      <c r="CR154" s="396"/>
      <c r="CS154" s="396"/>
      <c r="CT154" s="396"/>
      <c r="CU154" s="396"/>
      <c r="CV154" s="396"/>
      <c r="CW154" s="396"/>
      <c r="CX154" s="396"/>
      <c r="CY154" s="396"/>
      <c r="CZ154" s="396"/>
      <c r="DA154" s="396"/>
      <c r="DB154" s="396"/>
      <c r="DC154" s="396"/>
      <c r="DD154" s="396"/>
      <c r="DE154" s="396"/>
      <c r="DF154" s="396"/>
      <c r="DG154" s="396"/>
      <c r="DH154" s="396"/>
      <c r="DI154" s="396"/>
      <c r="DJ154" s="396"/>
      <c r="DK154" s="396"/>
      <c r="DL154" s="396"/>
      <c r="DM154" s="396"/>
      <c r="DN154" s="396"/>
      <c r="DO154" s="396"/>
      <c r="DP154" s="396"/>
      <c r="DQ154" s="396"/>
      <c r="DR154" s="396"/>
      <c r="DS154" s="396"/>
      <c r="DT154" s="396"/>
      <c r="DU154" s="396"/>
      <c r="DV154" s="396"/>
      <c r="DW154" s="396"/>
      <c r="DX154" s="396"/>
      <c r="DY154" s="396"/>
      <c r="DZ154" s="396"/>
      <c r="EA154" s="396"/>
      <c r="EB154" s="396"/>
      <c r="EC154" s="396"/>
      <c r="ED154" s="396"/>
      <c r="EE154" s="396"/>
      <c r="EF154" s="396"/>
      <c r="EG154" s="396"/>
      <c r="EH154" s="396"/>
      <c r="EI154" s="396"/>
      <c r="EJ154" s="396"/>
      <c r="EK154" s="396"/>
      <c r="EL154" s="396"/>
      <c r="EM154" s="396"/>
      <c r="EN154" s="396"/>
      <c r="EO154" s="396"/>
      <c r="EP154" s="396"/>
      <c r="EQ154" s="396"/>
      <c r="ER154" s="396"/>
      <c r="ES154" s="396"/>
      <c r="ET154" s="396"/>
      <c r="EU154" s="396"/>
      <c r="EV154" s="396"/>
      <c r="EW154" s="396"/>
      <c r="EX154" s="396"/>
      <c r="EY154" s="396"/>
      <c r="EZ154" s="396"/>
      <c r="FA154" s="396"/>
      <c r="FB154" s="396"/>
      <c r="FC154" s="396"/>
      <c r="FD154" s="396"/>
      <c r="FE154" s="396"/>
      <c r="FF154" s="396"/>
      <c r="FG154" s="396"/>
      <c r="FH154" s="396"/>
      <c r="FI154" s="396"/>
      <c r="FJ154" s="396"/>
      <c r="FK154" s="396"/>
      <c r="FL154" s="396"/>
      <c r="FM154" s="396"/>
      <c r="FN154" s="396"/>
      <c r="FO154" s="396"/>
      <c r="FP154" s="396"/>
      <c r="FQ154" s="396"/>
      <c r="FR154" s="396"/>
      <c r="FS154" s="396"/>
      <c r="FT154" s="396"/>
      <c r="FU154" s="396"/>
      <c r="FV154" s="396"/>
      <c r="FW154" s="396"/>
      <c r="FX154" s="396"/>
      <c r="FY154" s="396"/>
      <c r="FZ154" s="396"/>
      <c r="GA154" s="396"/>
      <c r="GB154" s="396"/>
      <c r="GC154" s="396"/>
      <c r="GD154" s="396"/>
      <c r="GE154" s="396"/>
      <c r="GF154" s="396"/>
      <c r="GG154" s="396"/>
      <c r="GH154" s="396"/>
      <c r="GI154" s="396"/>
      <c r="GJ154" s="396"/>
      <c r="GK154" s="396"/>
      <c r="GL154" s="396"/>
      <c r="GM154" s="396"/>
      <c r="GN154" s="396"/>
      <c r="GO154" s="396"/>
      <c r="GP154" s="396"/>
      <c r="GQ154" s="396"/>
      <c r="GR154" s="396"/>
      <c r="GS154" s="396"/>
      <c r="GT154" s="396"/>
      <c r="GU154" s="396"/>
      <c r="GV154" s="396"/>
      <c r="GW154" s="396"/>
      <c r="GX154" s="396"/>
      <c r="GY154" s="396"/>
      <c r="GZ154" s="396"/>
      <c r="HA154" s="396"/>
      <c r="HB154" s="396"/>
      <c r="HC154" s="396"/>
      <c r="HD154" s="396"/>
      <c r="HE154" s="396"/>
      <c r="HF154" s="396"/>
      <c r="HG154" s="396"/>
      <c r="HH154" s="396"/>
      <c r="HI154" s="396"/>
      <c r="HJ154" s="396"/>
      <c r="HK154" s="396"/>
      <c r="HL154" s="396"/>
      <c r="HM154" s="396"/>
      <c r="HN154" s="396"/>
      <c r="HO154" s="396"/>
      <c r="HP154" s="396"/>
      <c r="HQ154" s="396"/>
      <c r="HR154" s="396"/>
      <c r="HS154" s="396"/>
      <c r="HT154" s="396"/>
      <c r="HU154" s="396"/>
      <c r="HV154" s="396"/>
      <c r="HW154" s="396"/>
      <c r="HX154" s="396"/>
      <c r="HY154" s="396"/>
      <c r="HZ154" s="396"/>
      <c r="IA154" s="396"/>
      <c r="IB154" s="396"/>
      <c r="IC154" s="396"/>
      <c r="ID154" s="396"/>
      <c r="IE154" s="396"/>
      <c r="IF154" s="396"/>
      <c r="IG154" s="396"/>
      <c r="IH154" s="396"/>
      <c r="II154" s="396"/>
      <c r="IJ154" s="396"/>
      <c r="IK154" s="396"/>
      <c r="IL154" s="396"/>
      <c r="IM154" s="396"/>
      <c r="IN154" s="396"/>
      <c r="IO154" s="396"/>
      <c r="IP154" s="396"/>
      <c r="IQ154" s="396"/>
      <c r="IR154" s="396"/>
      <c r="IS154" s="396"/>
      <c r="IT154" s="396"/>
      <c r="IU154" s="396"/>
      <c r="IV154" s="396"/>
    </row>
    <row r="155" spans="1:256" s="397" customFormat="1" ht="93" customHeight="1" x14ac:dyDescent="0.3">
      <c r="A155" s="414"/>
      <c r="B155" s="415"/>
      <c r="C155" s="128" t="s">
        <v>1062</v>
      </c>
      <c r="D155" s="277" t="s">
        <v>112</v>
      </c>
      <c r="E155" s="182" t="s">
        <v>828</v>
      </c>
      <c r="F155" s="309">
        <v>2.8</v>
      </c>
      <c r="G155" s="453" t="s">
        <v>1441</v>
      </c>
      <c r="H155" s="453"/>
      <c r="I155" s="454"/>
      <c r="J155" s="398"/>
      <c r="K155" s="39"/>
      <c r="L155" s="395">
        <f t="shared" si="12"/>
        <v>0</v>
      </c>
      <c r="M155" s="396"/>
      <c r="N155" s="396"/>
      <c r="O155" s="396"/>
      <c r="P155" s="396"/>
      <c r="Q155" s="396"/>
      <c r="R155" s="396"/>
      <c r="S155" s="396"/>
      <c r="T155" s="396"/>
      <c r="U155" s="396"/>
      <c r="V155" s="396"/>
      <c r="W155" s="396"/>
      <c r="X155" s="396"/>
      <c r="Y155" s="396"/>
      <c r="Z155" s="396"/>
      <c r="AA155" s="396"/>
      <c r="AB155" s="396"/>
      <c r="AC155" s="396"/>
      <c r="AD155" s="396"/>
      <c r="AE155" s="396"/>
      <c r="AF155" s="396"/>
      <c r="AG155" s="396"/>
      <c r="AH155" s="396"/>
      <c r="AI155" s="396"/>
      <c r="AJ155" s="396"/>
      <c r="AK155" s="396"/>
      <c r="AL155" s="396"/>
      <c r="AM155" s="396"/>
      <c r="AN155" s="396"/>
      <c r="AO155" s="396"/>
      <c r="AP155" s="396"/>
      <c r="AQ155" s="396"/>
      <c r="AR155" s="396"/>
      <c r="AS155" s="396"/>
      <c r="AT155" s="396"/>
      <c r="AU155" s="396"/>
      <c r="AV155" s="396"/>
      <c r="AW155" s="396"/>
      <c r="AX155" s="396"/>
      <c r="AY155" s="396"/>
      <c r="AZ155" s="396"/>
      <c r="BA155" s="396"/>
      <c r="BB155" s="396"/>
      <c r="BC155" s="396"/>
      <c r="BD155" s="396"/>
      <c r="BE155" s="396"/>
      <c r="BF155" s="396"/>
      <c r="BG155" s="396"/>
      <c r="BH155" s="396"/>
      <c r="BI155" s="396"/>
      <c r="BJ155" s="396"/>
      <c r="BK155" s="396"/>
      <c r="BL155" s="396"/>
      <c r="BM155" s="396"/>
      <c r="BN155" s="396"/>
      <c r="BO155" s="396"/>
      <c r="BP155" s="396"/>
      <c r="BQ155" s="396"/>
      <c r="BR155" s="396"/>
      <c r="BS155" s="396"/>
      <c r="BT155" s="396"/>
      <c r="BU155" s="396"/>
      <c r="BV155" s="396"/>
      <c r="BW155" s="396"/>
      <c r="BX155" s="396"/>
      <c r="BY155" s="396"/>
      <c r="BZ155" s="396"/>
      <c r="CA155" s="396"/>
      <c r="CB155" s="396"/>
      <c r="CC155" s="396"/>
      <c r="CD155" s="396"/>
      <c r="CE155" s="396"/>
      <c r="CF155" s="396"/>
      <c r="CG155" s="396"/>
      <c r="CH155" s="396"/>
      <c r="CI155" s="396"/>
      <c r="CJ155" s="396"/>
      <c r="CK155" s="396"/>
      <c r="CL155" s="396"/>
      <c r="CM155" s="396"/>
      <c r="CN155" s="396"/>
      <c r="CO155" s="396"/>
      <c r="CP155" s="396"/>
      <c r="CQ155" s="396"/>
      <c r="CR155" s="396"/>
      <c r="CS155" s="396"/>
      <c r="CT155" s="396"/>
      <c r="CU155" s="396"/>
      <c r="CV155" s="396"/>
      <c r="CW155" s="396"/>
      <c r="CX155" s="396"/>
      <c r="CY155" s="396"/>
      <c r="CZ155" s="396"/>
      <c r="DA155" s="396"/>
      <c r="DB155" s="396"/>
      <c r="DC155" s="396"/>
      <c r="DD155" s="396"/>
      <c r="DE155" s="396"/>
      <c r="DF155" s="396"/>
      <c r="DG155" s="396"/>
      <c r="DH155" s="396"/>
      <c r="DI155" s="396"/>
      <c r="DJ155" s="396"/>
      <c r="DK155" s="396"/>
      <c r="DL155" s="396"/>
      <c r="DM155" s="396"/>
      <c r="DN155" s="396"/>
      <c r="DO155" s="396"/>
      <c r="DP155" s="396"/>
      <c r="DQ155" s="396"/>
      <c r="DR155" s="396"/>
      <c r="DS155" s="396"/>
      <c r="DT155" s="396"/>
      <c r="DU155" s="396"/>
      <c r="DV155" s="396"/>
      <c r="DW155" s="396"/>
      <c r="DX155" s="396"/>
      <c r="DY155" s="396"/>
      <c r="DZ155" s="396"/>
      <c r="EA155" s="396"/>
      <c r="EB155" s="396"/>
      <c r="EC155" s="396"/>
      <c r="ED155" s="396"/>
      <c r="EE155" s="396"/>
      <c r="EF155" s="396"/>
      <c r="EG155" s="396"/>
      <c r="EH155" s="396"/>
      <c r="EI155" s="396"/>
      <c r="EJ155" s="396"/>
      <c r="EK155" s="396"/>
      <c r="EL155" s="396"/>
      <c r="EM155" s="396"/>
      <c r="EN155" s="396"/>
      <c r="EO155" s="396"/>
      <c r="EP155" s="396"/>
      <c r="EQ155" s="396"/>
      <c r="ER155" s="396"/>
      <c r="ES155" s="396"/>
      <c r="ET155" s="396"/>
      <c r="EU155" s="396"/>
      <c r="EV155" s="396"/>
      <c r="EW155" s="396"/>
      <c r="EX155" s="396"/>
      <c r="EY155" s="396"/>
      <c r="EZ155" s="396"/>
      <c r="FA155" s="396"/>
      <c r="FB155" s="396"/>
      <c r="FC155" s="396"/>
      <c r="FD155" s="396"/>
      <c r="FE155" s="396"/>
      <c r="FF155" s="396"/>
      <c r="FG155" s="396"/>
      <c r="FH155" s="396"/>
      <c r="FI155" s="396"/>
      <c r="FJ155" s="396"/>
      <c r="FK155" s="396"/>
      <c r="FL155" s="396"/>
      <c r="FM155" s="396"/>
      <c r="FN155" s="396"/>
      <c r="FO155" s="396"/>
      <c r="FP155" s="396"/>
      <c r="FQ155" s="396"/>
      <c r="FR155" s="396"/>
      <c r="FS155" s="396"/>
      <c r="FT155" s="396"/>
      <c r="FU155" s="396"/>
      <c r="FV155" s="396"/>
      <c r="FW155" s="396"/>
      <c r="FX155" s="396"/>
      <c r="FY155" s="396"/>
      <c r="FZ155" s="396"/>
      <c r="GA155" s="396"/>
      <c r="GB155" s="396"/>
      <c r="GC155" s="396"/>
      <c r="GD155" s="396"/>
      <c r="GE155" s="396"/>
      <c r="GF155" s="396"/>
      <c r="GG155" s="396"/>
      <c r="GH155" s="396"/>
      <c r="GI155" s="396"/>
      <c r="GJ155" s="396"/>
      <c r="GK155" s="396"/>
      <c r="GL155" s="396"/>
      <c r="GM155" s="396"/>
      <c r="GN155" s="396"/>
      <c r="GO155" s="396"/>
      <c r="GP155" s="396"/>
      <c r="GQ155" s="396"/>
      <c r="GR155" s="396"/>
      <c r="GS155" s="396"/>
      <c r="GT155" s="396"/>
      <c r="GU155" s="396"/>
      <c r="GV155" s="396"/>
      <c r="GW155" s="396"/>
      <c r="GX155" s="396"/>
      <c r="GY155" s="396"/>
      <c r="GZ155" s="396"/>
      <c r="HA155" s="396"/>
      <c r="HB155" s="396"/>
      <c r="HC155" s="396"/>
      <c r="HD155" s="396"/>
      <c r="HE155" s="396"/>
      <c r="HF155" s="396"/>
      <c r="HG155" s="396"/>
      <c r="HH155" s="396"/>
      <c r="HI155" s="396"/>
      <c r="HJ155" s="396"/>
      <c r="HK155" s="396"/>
      <c r="HL155" s="396"/>
      <c r="HM155" s="396"/>
      <c r="HN155" s="396"/>
      <c r="HO155" s="396"/>
      <c r="HP155" s="396"/>
      <c r="HQ155" s="396"/>
      <c r="HR155" s="396"/>
      <c r="HS155" s="396"/>
      <c r="HT155" s="396"/>
      <c r="HU155" s="396"/>
      <c r="HV155" s="396"/>
      <c r="HW155" s="396"/>
      <c r="HX155" s="396"/>
      <c r="HY155" s="396"/>
      <c r="HZ155" s="396"/>
      <c r="IA155" s="396"/>
      <c r="IB155" s="396"/>
      <c r="IC155" s="396"/>
      <c r="ID155" s="396"/>
      <c r="IE155" s="396"/>
      <c r="IF155" s="396"/>
      <c r="IG155" s="396"/>
      <c r="IH155" s="396"/>
      <c r="II155" s="396"/>
      <c r="IJ155" s="396"/>
      <c r="IK155" s="396"/>
      <c r="IL155" s="396"/>
      <c r="IM155" s="396"/>
      <c r="IN155" s="396"/>
      <c r="IO155" s="396"/>
      <c r="IP155" s="396"/>
      <c r="IQ155" s="396"/>
      <c r="IR155" s="396"/>
      <c r="IS155" s="396"/>
      <c r="IT155" s="396"/>
      <c r="IU155" s="396"/>
      <c r="IV155" s="396"/>
    </row>
    <row r="156" spans="1:256" s="290" customFormat="1" ht="75" x14ac:dyDescent="0.3">
      <c r="A156" s="69"/>
      <c r="B156" s="8"/>
      <c r="C156" s="82" t="s">
        <v>1487</v>
      </c>
      <c r="D156" s="269" t="s">
        <v>113</v>
      </c>
      <c r="E156" s="71" t="s">
        <v>23</v>
      </c>
      <c r="F156" s="74">
        <f>6.8*8.75</f>
        <v>59.5</v>
      </c>
      <c r="G156" s="11">
        <v>3224000</v>
      </c>
      <c r="H156" s="355">
        <v>1</v>
      </c>
      <c r="I156" s="354">
        <v>1.1479999999999999</v>
      </c>
      <c r="J156" s="32">
        <f t="shared" ref="J156:J167" si="13">ROUND(F156*G156*H156*I156,-3)</f>
        <v>220219000</v>
      </c>
      <c r="K156" s="39">
        <f t="shared" si="11"/>
        <v>220219000</v>
      </c>
      <c r="L156" s="261">
        <f t="shared" si="12"/>
        <v>0</v>
      </c>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c r="HM156" s="14"/>
      <c r="HN156" s="14"/>
      <c r="HO156" s="14"/>
      <c r="HP156" s="14"/>
      <c r="HQ156" s="14"/>
      <c r="HR156" s="14"/>
      <c r="HS156" s="14"/>
      <c r="HT156" s="14"/>
      <c r="HU156" s="14"/>
      <c r="HV156" s="14"/>
      <c r="HW156" s="14"/>
      <c r="HX156" s="14"/>
      <c r="HY156" s="14"/>
      <c r="HZ156" s="14"/>
      <c r="IA156" s="14"/>
      <c r="IB156" s="14"/>
      <c r="IC156" s="14"/>
      <c r="ID156" s="14"/>
      <c r="IE156" s="14"/>
      <c r="IF156" s="14"/>
      <c r="IG156" s="14"/>
      <c r="IH156" s="14"/>
      <c r="II156" s="14"/>
      <c r="IJ156" s="14"/>
      <c r="IK156" s="14"/>
      <c r="IL156" s="14"/>
      <c r="IM156" s="14"/>
      <c r="IN156" s="14"/>
      <c r="IO156" s="14"/>
      <c r="IP156" s="14"/>
      <c r="IQ156" s="14"/>
      <c r="IR156" s="14"/>
      <c r="IS156" s="14"/>
      <c r="IT156" s="14"/>
      <c r="IU156" s="14"/>
      <c r="IV156" s="14"/>
    </row>
    <row r="157" spans="1:256" s="290" customFormat="1" ht="25.5" x14ac:dyDescent="0.3">
      <c r="A157" s="69"/>
      <c r="B157" s="8"/>
      <c r="C157" s="82" t="s">
        <v>1488</v>
      </c>
      <c r="D157" s="270" t="s">
        <v>68</v>
      </c>
      <c r="E157" s="96" t="s">
        <v>91</v>
      </c>
      <c r="F157" s="74">
        <f>6.6*8.55</f>
        <v>56.43</v>
      </c>
      <c r="G157" s="46">
        <v>213000</v>
      </c>
      <c r="H157" s="355">
        <v>1</v>
      </c>
      <c r="I157" s="151">
        <v>1.1479999999999999</v>
      </c>
      <c r="J157" s="32">
        <f t="shared" si="13"/>
        <v>13798000</v>
      </c>
      <c r="K157" s="39">
        <f t="shared" si="11"/>
        <v>13798000</v>
      </c>
      <c r="L157" s="261">
        <f t="shared" si="12"/>
        <v>0</v>
      </c>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c r="HM157" s="14"/>
      <c r="HN157" s="14"/>
      <c r="HO157" s="14"/>
      <c r="HP157" s="14"/>
      <c r="HQ157" s="14"/>
      <c r="HR157" s="14"/>
      <c r="HS157" s="14"/>
      <c r="HT157" s="14"/>
      <c r="HU157" s="14"/>
      <c r="HV157" s="14"/>
      <c r="HW157" s="14"/>
      <c r="HX157" s="14"/>
      <c r="HY157" s="14"/>
      <c r="HZ157" s="14"/>
      <c r="IA157" s="14"/>
      <c r="IB157" s="14"/>
      <c r="IC157" s="14"/>
      <c r="ID157" s="14"/>
      <c r="IE157" s="14"/>
      <c r="IF157" s="14"/>
      <c r="IG157" s="14"/>
      <c r="IH157" s="14"/>
      <c r="II157" s="14"/>
      <c r="IJ157" s="14"/>
      <c r="IK157" s="14"/>
      <c r="IL157" s="14"/>
      <c r="IM157" s="14"/>
      <c r="IN157" s="14"/>
      <c r="IO157" s="14"/>
      <c r="IP157" s="14"/>
      <c r="IQ157" s="14"/>
      <c r="IR157" s="14"/>
      <c r="IS157" s="14"/>
      <c r="IT157" s="14"/>
      <c r="IU157" s="14"/>
      <c r="IV157" s="14"/>
    </row>
    <row r="158" spans="1:256" s="290" customFormat="1" ht="38.25" x14ac:dyDescent="0.3">
      <c r="A158" s="69"/>
      <c r="B158" s="8"/>
      <c r="C158" s="82" t="s">
        <v>1489</v>
      </c>
      <c r="D158" s="267" t="s">
        <v>56</v>
      </c>
      <c r="E158" s="71" t="s">
        <v>23</v>
      </c>
      <c r="F158" s="74">
        <f>6.55*3</f>
        <v>19.649999999999999</v>
      </c>
      <c r="G158" s="29">
        <v>735000</v>
      </c>
      <c r="H158" s="355">
        <v>1</v>
      </c>
      <c r="I158" s="408">
        <v>1.1479999999999999</v>
      </c>
      <c r="J158" s="32">
        <f t="shared" si="13"/>
        <v>16580000</v>
      </c>
      <c r="K158" s="39">
        <f t="shared" si="11"/>
        <v>16580000</v>
      </c>
      <c r="L158" s="261">
        <f t="shared" si="12"/>
        <v>0</v>
      </c>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c r="HM158" s="14"/>
      <c r="HN158" s="14"/>
      <c r="HO158" s="14"/>
      <c r="HP158" s="14"/>
      <c r="HQ158" s="14"/>
      <c r="HR158" s="14"/>
      <c r="HS158" s="14"/>
      <c r="HT158" s="14"/>
      <c r="HU158" s="14"/>
      <c r="HV158" s="14"/>
      <c r="HW158" s="14"/>
      <c r="HX158" s="14"/>
      <c r="HY158" s="14"/>
      <c r="HZ158" s="14"/>
      <c r="IA158" s="14"/>
      <c r="IB158" s="14"/>
      <c r="IC158" s="14"/>
      <c r="ID158" s="14"/>
      <c r="IE158" s="14"/>
      <c r="IF158" s="14"/>
      <c r="IG158" s="14"/>
      <c r="IH158" s="14"/>
      <c r="II158" s="14"/>
      <c r="IJ158" s="14"/>
      <c r="IK158" s="14"/>
      <c r="IL158" s="14"/>
      <c r="IM158" s="14"/>
      <c r="IN158" s="14"/>
      <c r="IO158" s="14"/>
      <c r="IP158" s="14"/>
      <c r="IQ158" s="14"/>
      <c r="IR158" s="14"/>
      <c r="IS158" s="14"/>
      <c r="IT158" s="14"/>
      <c r="IU158" s="14"/>
      <c r="IV158" s="14"/>
    </row>
    <row r="159" spans="1:256" s="290" customFormat="1" ht="38.25" x14ac:dyDescent="0.3">
      <c r="A159" s="69"/>
      <c r="B159" s="8"/>
      <c r="C159" s="82" t="s">
        <v>1490</v>
      </c>
      <c r="D159" s="271" t="s">
        <v>32</v>
      </c>
      <c r="E159" s="71" t="s">
        <v>23</v>
      </c>
      <c r="F159" s="74">
        <f>6.8*4.5</f>
        <v>30.599999999999998</v>
      </c>
      <c r="G159" s="29">
        <v>215000</v>
      </c>
      <c r="H159" s="355">
        <v>0.8</v>
      </c>
      <c r="I159" s="151">
        <v>1.1479999999999999</v>
      </c>
      <c r="J159" s="32">
        <f t="shared" si="13"/>
        <v>6042000</v>
      </c>
      <c r="K159" s="39">
        <f t="shared" si="11"/>
        <v>6042000</v>
      </c>
      <c r="L159" s="261">
        <f t="shared" si="12"/>
        <v>0</v>
      </c>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c r="HM159" s="14"/>
      <c r="HN159" s="14"/>
      <c r="HO159" s="14"/>
      <c r="HP159" s="14"/>
      <c r="HQ159" s="14"/>
      <c r="HR159" s="14"/>
      <c r="HS159" s="14"/>
      <c r="HT159" s="14"/>
      <c r="HU159" s="14"/>
      <c r="HV159" s="14"/>
      <c r="HW159" s="14"/>
      <c r="HX159" s="14"/>
      <c r="HY159" s="14"/>
      <c r="HZ159" s="14"/>
      <c r="IA159" s="14"/>
      <c r="IB159" s="14"/>
      <c r="IC159" s="14"/>
      <c r="ID159" s="14"/>
      <c r="IE159" s="14"/>
      <c r="IF159" s="14"/>
      <c r="IG159" s="14"/>
      <c r="IH159" s="14"/>
      <c r="II159" s="14"/>
      <c r="IJ159" s="14"/>
      <c r="IK159" s="14"/>
      <c r="IL159" s="14"/>
      <c r="IM159" s="14"/>
      <c r="IN159" s="14"/>
      <c r="IO159" s="14"/>
      <c r="IP159" s="14"/>
      <c r="IQ159" s="14"/>
      <c r="IR159" s="14"/>
      <c r="IS159" s="14"/>
      <c r="IT159" s="14"/>
      <c r="IU159" s="14"/>
      <c r="IV159" s="14"/>
    </row>
    <row r="160" spans="1:256" s="290" customFormat="1" ht="25.5" x14ac:dyDescent="0.3">
      <c r="A160" s="69"/>
      <c r="B160" s="8"/>
      <c r="C160" s="143" t="s">
        <v>1491</v>
      </c>
      <c r="D160" s="271" t="s">
        <v>94</v>
      </c>
      <c r="E160" s="63" t="s">
        <v>35</v>
      </c>
      <c r="F160" s="98">
        <v>1</v>
      </c>
      <c r="G160" s="112">
        <v>1065100</v>
      </c>
      <c r="H160" s="365">
        <v>1</v>
      </c>
      <c r="I160" s="366">
        <v>1</v>
      </c>
      <c r="J160" s="367">
        <f t="shared" si="13"/>
        <v>1065000</v>
      </c>
      <c r="K160" s="39">
        <f t="shared" si="11"/>
        <v>1065000</v>
      </c>
      <c r="L160" s="261">
        <f t="shared" si="12"/>
        <v>0</v>
      </c>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c r="HM160" s="14"/>
      <c r="HN160" s="14"/>
      <c r="HO160" s="14"/>
      <c r="HP160" s="14"/>
      <c r="HQ160" s="14"/>
      <c r="HR160" s="14"/>
      <c r="HS160" s="14"/>
      <c r="HT160" s="14"/>
      <c r="HU160" s="14"/>
      <c r="HV160" s="14"/>
      <c r="HW160" s="14"/>
      <c r="HX160" s="14"/>
      <c r="HY160" s="14"/>
      <c r="HZ160" s="14"/>
      <c r="IA160" s="14"/>
      <c r="IB160" s="14"/>
      <c r="IC160" s="14"/>
      <c r="ID160" s="14"/>
      <c r="IE160" s="14"/>
      <c r="IF160" s="14"/>
      <c r="IG160" s="14"/>
      <c r="IH160" s="14"/>
      <c r="II160" s="14"/>
      <c r="IJ160" s="14"/>
      <c r="IK160" s="14"/>
      <c r="IL160" s="14"/>
      <c r="IM160" s="14"/>
      <c r="IN160" s="14"/>
      <c r="IO160" s="14"/>
      <c r="IP160" s="14"/>
      <c r="IQ160" s="14"/>
      <c r="IR160" s="14"/>
      <c r="IS160" s="14"/>
      <c r="IT160" s="14"/>
      <c r="IU160" s="14"/>
      <c r="IV160" s="14"/>
    </row>
    <row r="161" spans="1:256" s="290" customFormat="1" ht="40.5" customHeight="1" x14ac:dyDescent="0.3">
      <c r="A161" s="117"/>
      <c r="B161" s="118"/>
      <c r="C161" s="106" t="s">
        <v>1492</v>
      </c>
      <c r="D161" s="416" t="s">
        <v>41</v>
      </c>
      <c r="E161" s="381" t="s">
        <v>42</v>
      </c>
      <c r="F161" s="417">
        <v>11</v>
      </c>
      <c r="G161" s="406">
        <v>5330</v>
      </c>
      <c r="H161" s="383">
        <v>1</v>
      </c>
      <c r="I161" s="384">
        <v>1</v>
      </c>
      <c r="J161" s="367">
        <f t="shared" si="13"/>
        <v>59000</v>
      </c>
      <c r="K161" s="39">
        <f t="shared" si="11"/>
        <v>59000</v>
      </c>
      <c r="L161" s="261">
        <f t="shared" si="12"/>
        <v>0</v>
      </c>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c r="HM161" s="14"/>
      <c r="HN161" s="14"/>
      <c r="HO161" s="14"/>
      <c r="HP161" s="14"/>
      <c r="HQ161" s="14"/>
      <c r="HR161" s="14"/>
      <c r="HS161" s="14"/>
      <c r="HT161" s="14"/>
      <c r="HU161" s="14"/>
      <c r="HV161" s="14"/>
      <c r="HW161" s="14"/>
      <c r="HX161" s="14"/>
      <c r="HY161" s="14"/>
      <c r="HZ161" s="14"/>
      <c r="IA161" s="14"/>
      <c r="IB161" s="14"/>
      <c r="IC161" s="14"/>
      <c r="ID161" s="14"/>
      <c r="IE161" s="14"/>
      <c r="IF161" s="14"/>
      <c r="IG161" s="14"/>
      <c r="IH161" s="14"/>
      <c r="II161" s="14"/>
      <c r="IJ161" s="14"/>
      <c r="IK161" s="14"/>
      <c r="IL161" s="14"/>
      <c r="IM161" s="14"/>
      <c r="IN161" s="14"/>
      <c r="IO161" s="14"/>
      <c r="IP161" s="14"/>
      <c r="IQ161" s="14"/>
      <c r="IR161" s="14"/>
      <c r="IS161" s="14"/>
      <c r="IT161" s="14"/>
      <c r="IU161" s="14"/>
      <c r="IV161" s="14"/>
    </row>
    <row r="162" spans="1:256" s="290" customFormat="1" ht="40.5" customHeight="1" x14ac:dyDescent="0.3">
      <c r="A162" s="69"/>
      <c r="B162" s="8"/>
      <c r="C162" s="82" t="s">
        <v>1493</v>
      </c>
      <c r="D162" s="267" t="s">
        <v>24</v>
      </c>
      <c r="E162" s="8" t="s">
        <v>25</v>
      </c>
      <c r="F162" s="74">
        <f>1*6.8*0.2</f>
        <v>1.36</v>
      </c>
      <c r="G162" s="29">
        <v>2828000</v>
      </c>
      <c r="H162" s="355">
        <v>1</v>
      </c>
      <c r="I162" s="151">
        <v>1.1479999999999999</v>
      </c>
      <c r="J162" s="32">
        <f t="shared" si="13"/>
        <v>4415000</v>
      </c>
      <c r="K162" s="39">
        <f t="shared" si="11"/>
        <v>4415000</v>
      </c>
      <c r="L162" s="261">
        <f t="shared" si="12"/>
        <v>0</v>
      </c>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c r="HM162" s="14"/>
      <c r="HN162" s="14"/>
      <c r="HO162" s="14"/>
      <c r="HP162" s="14"/>
      <c r="HQ162" s="14"/>
      <c r="HR162" s="14"/>
      <c r="HS162" s="14"/>
      <c r="HT162" s="14"/>
      <c r="HU162" s="14"/>
      <c r="HV162" s="14"/>
      <c r="HW162" s="14"/>
      <c r="HX162" s="14"/>
      <c r="HY162" s="14"/>
      <c r="HZ162" s="14"/>
      <c r="IA162" s="14"/>
      <c r="IB162" s="14"/>
      <c r="IC162" s="14"/>
      <c r="ID162" s="14"/>
      <c r="IE162" s="14"/>
      <c r="IF162" s="14"/>
      <c r="IG162" s="14"/>
      <c r="IH162" s="14"/>
      <c r="II162" s="14"/>
      <c r="IJ162" s="14"/>
      <c r="IK162" s="14"/>
      <c r="IL162" s="14"/>
      <c r="IM162" s="14"/>
      <c r="IN162" s="14"/>
      <c r="IO162" s="14"/>
      <c r="IP162" s="14"/>
      <c r="IQ162" s="14"/>
      <c r="IR162" s="14"/>
      <c r="IS162" s="14"/>
      <c r="IT162" s="14"/>
      <c r="IU162" s="14"/>
      <c r="IV162" s="14"/>
    </row>
    <row r="163" spans="1:256" s="290" customFormat="1" ht="40.5" customHeight="1" x14ac:dyDescent="0.3">
      <c r="A163" s="69"/>
      <c r="B163" s="8"/>
      <c r="C163" s="82" t="s">
        <v>1494</v>
      </c>
      <c r="D163" s="270" t="s">
        <v>51</v>
      </c>
      <c r="E163" s="71" t="s">
        <v>23</v>
      </c>
      <c r="F163" s="74">
        <f>1.3*6.8</f>
        <v>8.84</v>
      </c>
      <c r="G163" s="29">
        <v>453000</v>
      </c>
      <c r="H163" s="355">
        <v>1</v>
      </c>
      <c r="I163" s="354">
        <v>1.1479999999999999</v>
      </c>
      <c r="J163" s="32">
        <f t="shared" si="13"/>
        <v>4597000</v>
      </c>
      <c r="K163" s="39">
        <f t="shared" si="11"/>
        <v>4597000</v>
      </c>
      <c r="L163" s="261">
        <f t="shared" si="12"/>
        <v>0</v>
      </c>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c r="HM163" s="14"/>
      <c r="HN163" s="14"/>
      <c r="HO163" s="14"/>
      <c r="HP163" s="14"/>
      <c r="HQ163" s="14"/>
      <c r="HR163" s="14"/>
      <c r="HS163" s="14"/>
      <c r="HT163" s="14"/>
      <c r="HU163" s="14"/>
      <c r="HV163" s="14"/>
      <c r="HW163" s="14"/>
      <c r="HX163" s="14"/>
      <c r="HY163" s="14"/>
      <c r="HZ163" s="14"/>
      <c r="IA163" s="14"/>
      <c r="IB163" s="14"/>
      <c r="IC163" s="14"/>
      <c r="ID163" s="14"/>
      <c r="IE163" s="14"/>
      <c r="IF163" s="14"/>
      <c r="IG163" s="14"/>
      <c r="IH163" s="14"/>
      <c r="II163" s="14"/>
      <c r="IJ163" s="14"/>
      <c r="IK163" s="14"/>
      <c r="IL163" s="14"/>
      <c r="IM163" s="14"/>
      <c r="IN163" s="14"/>
      <c r="IO163" s="14"/>
      <c r="IP163" s="14"/>
      <c r="IQ163" s="14"/>
      <c r="IR163" s="14"/>
      <c r="IS163" s="14"/>
      <c r="IT163" s="14"/>
      <c r="IU163" s="14"/>
      <c r="IV163" s="14"/>
    </row>
    <row r="164" spans="1:256" s="290" customFormat="1" ht="40.5" customHeight="1" x14ac:dyDescent="0.3">
      <c r="A164" s="69"/>
      <c r="B164" s="8"/>
      <c r="C164" s="82" t="s">
        <v>1495</v>
      </c>
      <c r="D164" s="270" t="s">
        <v>28</v>
      </c>
      <c r="E164" s="71" t="s">
        <v>23</v>
      </c>
      <c r="F164" s="74">
        <f>6.8*0.2+(0.85*3)*2</f>
        <v>6.46</v>
      </c>
      <c r="G164" s="11">
        <v>396000</v>
      </c>
      <c r="H164" s="355">
        <v>1</v>
      </c>
      <c r="I164" s="151">
        <v>1.1479999999999999</v>
      </c>
      <c r="J164" s="32">
        <f t="shared" si="13"/>
        <v>2937000</v>
      </c>
      <c r="K164" s="39">
        <f t="shared" si="11"/>
        <v>2937000</v>
      </c>
      <c r="L164" s="261">
        <f t="shared" si="12"/>
        <v>0</v>
      </c>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c r="HM164" s="14"/>
      <c r="HN164" s="14"/>
      <c r="HO164" s="14"/>
      <c r="HP164" s="14"/>
      <c r="HQ164" s="14"/>
      <c r="HR164" s="14"/>
      <c r="HS164" s="14"/>
      <c r="HT164" s="14"/>
      <c r="HU164" s="14"/>
      <c r="HV164" s="14"/>
      <c r="HW164" s="14"/>
      <c r="HX164" s="14"/>
      <c r="HY164" s="14"/>
      <c r="HZ164" s="14"/>
      <c r="IA164" s="14"/>
      <c r="IB164" s="14"/>
      <c r="IC164" s="14"/>
      <c r="ID164" s="14"/>
      <c r="IE164" s="14"/>
      <c r="IF164" s="14"/>
      <c r="IG164" s="14"/>
      <c r="IH164" s="14"/>
      <c r="II164" s="14"/>
      <c r="IJ164" s="14"/>
      <c r="IK164" s="14"/>
      <c r="IL164" s="14"/>
      <c r="IM164" s="14"/>
      <c r="IN164" s="14"/>
      <c r="IO164" s="14"/>
      <c r="IP164" s="14"/>
      <c r="IQ164" s="14"/>
      <c r="IR164" s="14"/>
      <c r="IS164" s="14"/>
      <c r="IT164" s="14"/>
      <c r="IU164" s="14"/>
      <c r="IV164" s="14"/>
    </row>
    <row r="165" spans="1:256" s="290" customFormat="1" ht="40.5" customHeight="1" x14ac:dyDescent="0.3">
      <c r="A165" s="69"/>
      <c r="B165" s="8"/>
      <c r="C165" s="82" t="s">
        <v>1496</v>
      </c>
      <c r="D165" s="270" t="s">
        <v>55</v>
      </c>
      <c r="E165" s="96" t="s">
        <v>91</v>
      </c>
      <c r="F165" s="74">
        <f>6*1.8</f>
        <v>10.8</v>
      </c>
      <c r="G165" s="29">
        <v>905000</v>
      </c>
      <c r="H165" s="355">
        <v>1</v>
      </c>
      <c r="I165" s="151">
        <v>1.1479999999999999</v>
      </c>
      <c r="J165" s="32">
        <f t="shared" si="13"/>
        <v>11221000</v>
      </c>
      <c r="K165" s="39">
        <f t="shared" si="11"/>
        <v>11221000</v>
      </c>
      <c r="L165" s="261">
        <f t="shared" si="12"/>
        <v>0</v>
      </c>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c r="HM165" s="14"/>
      <c r="HN165" s="14"/>
      <c r="HO165" s="14"/>
      <c r="HP165" s="14"/>
      <c r="HQ165" s="14"/>
      <c r="HR165" s="14"/>
      <c r="HS165" s="14"/>
      <c r="HT165" s="14"/>
      <c r="HU165" s="14"/>
      <c r="HV165" s="14"/>
      <c r="HW165" s="14"/>
      <c r="HX165" s="14"/>
      <c r="HY165" s="14"/>
      <c r="HZ165" s="14"/>
      <c r="IA165" s="14"/>
      <c r="IB165" s="14"/>
      <c r="IC165" s="14"/>
      <c r="ID165" s="14"/>
      <c r="IE165" s="14"/>
      <c r="IF165" s="14"/>
      <c r="IG165" s="14"/>
      <c r="IH165" s="14"/>
      <c r="II165" s="14"/>
      <c r="IJ165" s="14"/>
      <c r="IK165" s="14"/>
      <c r="IL165" s="14"/>
      <c r="IM165" s="14"/>
      <c r="IN165" s="14"/>
      <c r="IO165" s="14"/>
      <c r="IP165" s="14"/>
      <c r="IQ165" s="14"/>
      <c r="IR165" s="14"/>
      <c r="IS165" s="14"/>
      <c r="IT165" s="14"/>
      <c r="IU165" s="14"/>
      <c r="IV165" s="14"/>
    </row>
    <row r="166" spans="1:256" s="290" customFormat="1" ht="38.25" x14ac:dyDescent="0.3">
      <c r="A166" s="104"/>
      <c r="B166" s="105"/>
      <c r="C166" s="113" t="s">
        <v>1497</v>
      </c>
      <c r="D166" s="399" t="s">
        <v>44</v>
      </c>
      <c r="E166" s="126" t="s">
        <v>45</v>
      </c>
      <c r="F166" s="123">
        <v>7</v>
      </c>
      <c r="G166" s="177">
        <v>28000</v>
      </c>
      <c r="H166" s="355">
        <v>1</v>
      </c>
      <c r="I166" s="400">
        <v>1.1479999999999999</v>
      </c>
      <c r="J166" s="378">
        <f t="shared" si="13"/>
        <v>225000</v>
      </c>
      <c r="K166" s="39">
        <f t="shared" si="11"/>
        <v>225000</v>
      </c>
      <c r="L166" s="261">
        <f t="shared" si="12"/>
        <v>0</v>
      </c>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c r="HM166" s="14"/>
      <c r="HN166" s="14"/>
      <c r="HO166" s="14"/>
      <c r="HP166" s="14"/>
      <c r="HQ166" s="14"/>
      <c r="HR166" s="14"/>
      <c r="HS166" s="14"/>
      <c r="HT166" s="14"/>
      <c r="HU166" s="14"/>
      <c r="HV166" s="14"/>
      <c r="HW166" s="14"/>
      <c r="HX166" s="14"/>
      <c r="HY166" s="14"/>
      <c r="HZ166" s="14"/>
      <c r="IA166" s="14"/>
      <c r="IB166" s="14"/>
      <c r="IC166" s="14"/>
      <c r="ID166" s="14"/>
      <c r="IE166" s="14"/>
      <c r="IF166" s="14"/>
      <c r="IG166" s="14"/>
      <c r="IH166" s="14"/>
      <c r="II166" s="14"/>
      <c r="IJ166" s="14"/>
      <c r="IK166" s="14"/>
      <c r="IL166" s="14"/>
      <c r="IM166" s="14"/>
      <c r="IN166" s="14"/>
      <c r="IO166" s="14"/>
      <c r="IP166" s="14"/>
      <c r="IQ166" s="14"/>
      <c r="IR166" s="14"/>
      <c r="IS166" s="14"/>
      <c r="IT166" s="14"/>
      <c r="IU166" s="14"/>
      <c r="IV166" s="14"/>
    </row>
    <row r="167" spans="1:256" s="290" customFormat="1" ht="38.25" x14ac:dyDescent="0.3">
      <c r="A167" s="69"/>
      <c r="B167" s="8"/>
      <c r="C167" s="113" t="s">
        <v>1458</v>
      </c>
      <c r="D167" s="271" t="s">
        <v>47</v>
      </c>
      <c r="E167" s="63" t="s">
        <v>45</v>
      </c>
      <c r="F167" s="157">
        <v>7</v>
      </c>
      <c r="G167" s="46">
        <v>28000</v>
      </c>
      <c r="H167" s="355">
        <v>1</v>
      </c>
      <c r="I167" s="354">
        <v>1.1479999999999999</v>
      </c>
      <c r="J167" s="378">
        <f t="shared" si="13"/>
        <v>225000</v>
      </c>
      <c r="K167" s="39">
        <f t="shared" si="11"/>
        <v>225000</v>
      </c>
      <c r="L167" s="261">
        <f t="shared" si="12"/>
        <v>0</v>
      </c>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c r="HM167" s="14"/>
      <c r="HN167" s="14"/>
      <c r="HO167" s="14"/>
      <c r="HP167" s="14"/>
      <c r="HQ167" s="14"/>
      <c r="HR167" s="14"/>
      <c r="HS167" s="14"/>
      <c r="HT167" s="14"/>
      <c r="HU167" s="14"/>
      <c r="HV167" s="14"/>
      <c r="HW167" s="14"/>
      <c r="HX167" s="14"/>
      <c r="HY167" s="14"/>
      <c r="HZ167" s="14"/>
      <c r="IA167" s="14"/>
      <c r="IB167" s="14"/>
      <c r="IC167" s="14"/>
      <c r="ID167" s="14"/>
      <c r="IE167" s="14"/>
      <c r="IF167" s="14"/>
      <c r="IG167" s="14"/>
      <c r="IH167" s="14"/>
      <c r="II167" s="14"/>
      <c r="IJ167" s="14"/>
      <c r="IK167" s="14"/>
      <c r="IL167" s="14"/>
      <c r="IM167" s="14"/>
      <c r="IN167" s="14"/>
      <c r="IO167" s="14"/>
      <c r="IP167" s="14"/>
      <c r="IQ167" s="14"/>
      <c r="IR167" s="14"/>
      <c r="IS167" s="14"/>
      <c r="IT167" s="14"/>
      <c r="IU167" s="14"/>
      <c r="IV167" s="14"/>
    </row>
    <row r="168" spans="1:256" ht="61.5" customHeight="1" x14ac:dyDescent="0.3">
      <c r="A168" s="108">
        <v>7</v>
      </c>
      <c r="B168" s="109" t="s">
        <v>277</v>
      </c>
      <c r="C168" s="455" t="s">
        <v>1070</v>
      </c>
      <c r="D168" s="456"/>
      <c r="E168" s="456"/>
      <c r="F168" s="456"/>
      <c r="G168" s="456"/>
      <c r="H168" s="456"/>
      <c r="I168" s="457"/>
      <c r="J168" s="221">
        <f>SUM(J169:J187)</f>
        <v>142851000</v>
      </c>
      <c r="K168" s="39">
        <f t="shared" si="11"/>
        <v>0</v>
      </c>
      <c r="L168" s="261">
        <f t="shared" si="12"/>
        <v>142851000</v>
      </c>
      <c r="M168" s="24"/>
    </row>
    <row r="169" spans="1:256" ht="77.25" customHeight="1" x14ac:dyDescent="0.3">
      <c r="A169" s="108"/>
      <c r="B169" s="109"/>
      <c r="C169" s="25" t="s">
        <v>1062</v>
      </c>
      <c r="D169" s="267" t="s">
        <v>112</v>
      </c>
      <c r="E169" s="27" t="s">
        <v>23</v>
      </c>
      <c r="F169" s="35">
        <v>31.1</v>
      </c>
      <c r="G169" s="458" t="s">
        <v>1064</v>
      </c>
      <c r="H169" s="459"/>
      <c r="I169" s="460"/>
      <c r="J169" s="221"/>
      <c r="K169" s="39"/>
      <c r="L169" s="261">
        <f t="shared" si="12"/>
        <v>0</v>
      </c>
      <c r="M169" s="24"/>
    </row>
    <row r="170" spans="1:256" ht="77.25" customHeight="1" x14ac:dyDescent="0.3">
      <c r="A170" s="67"/>
      <c r="B170" s="68"/>
      <c r="C170" s="20" t="s">
        <v>1065</v>
      </c>
      <c r="D170" s="274" t="s">
        <v>113</v>
      </c>
      <c r="E170" s="27" t="s">
        <v>23</v>
      </c>
      <c r="F170" s="41">
        <f>6.3*5.2</f>
        <v>32.76</v>
      </c>
      <c r="G170" s="29">
        <v>3224000</v>
      </c>
      <c r="H170" s="45">
        <v>0.8</v>
      </c>
      <c r="I170" s="102">
        <v>1.1479999999999999</v>
      </c>
      <c r="J170" s="223">
        <f t="shared" ref="J170:J187" si="14">ROUND(F170*G170*H170*I170,-3)</f>
        <v>97000000</v>
      </c>
      <c r="K170" s="39">
        <f t="shared" si="11"/>
        <v>97000000</v>
      </c>
      <c r="L170" s="261">
        <f t="shared" si="12"/>
        <v>0</v>
      </c>
      <c r="M170" s="14"/>
    </row>
    <row r="171" spans="1:256" ht="25.5" x14ac:dyDescent="0.3">
      <c r="A171" s="69"/>
      <c r="B171" s="8"/>
      <c r="C171" s="82" t="s">
        <v>278</v>
      </c>
      <c r="D171" s="271" t="s">
        <v>54</v>
      </c>
      <c r="E171" s="27" t="s">
        <v>23</v>
      </c>
      <c r="F171" s="72">
        <f>6.1*4.9</f>
        <v>29.89</v>
      </c>
      <c r="G171" s="46">
        <v>213000</v>
      </c>
      <c r="H171" s="45">
        <v>0.8</v>
      </c>
      <c r="I171" s="79">
        <v>1.1479999999999999</v>
      </c>
      <c r="J171" s="223">
        <f t="shared" si="14"/>
        <v>5847000</v>
      </c>
      <c r="K171" s="39">
        <f t="shared" si="11"/>
        <v>5847000</v>
      </c>
      <c r="L171" s="261">
        <f t="shared" si="12"/>
        <v>0</v>
      </c>
      <c r="M171" s="14"/>
    </row>
    <row r="172" spans="1:256" ht="25.5" x14ac:dyDescent="0.3">
      <c r="A172" s="69"/>
      <c r="B172" s="8"/>
      <c r="C172" s="82" t="s">
        <v>279</v>
      </c>
      <c r="D172" s="275" t="s">
        <v>54</v>
      </c>
      <c r="E172" s="22" t="s">
        <v>23</v>
      </c>
      <c r="F172" s="89">
        <f>(6.5*0.9)*2</f>
        <v>11.700000000000001</v>
      </c>
      <c r="G172" s="100">
        <v>213000</v>
      </c>
      <c r="H172" s="45">
        <v>0.8</v>
      </c>
      <c r="I172" s="102">
        <v>1.1479999999999999</v>
      </c>
      <c r="J172" s="222">
        <f t="shared" si="14"/>
        <v>2289000</v>
      </c>
      <c r="K172" s="39">
        <f t="shared" si="11"/>
        <v>2289000</v>
      </c>
      <c r="L172" s="261">
        <f t="shared" si="12"/>
        <v>0</v>
      </c>
      <c r="M172" s="158" t="s">
        <v>1066</v>
      </c>
    </row>
    <row r="173" spans="1:256" ht="38.25" x14ac:dyDescent="0.3">
      <c r="A173" s="69"/>
      <c r="B173" s="8"/>
      <c r="C173" s="82" t="s">
        <v>1067</v>
      </c>
      <c r="D173" s="269" t="s">
        <v>88</v>
      </c>
      <c r="E173" s="8" t="s">
        <v>25</v>
      </c>
      <c r="F173" s="72">
        <f>(0.56*0.56*2.6)*2</f>
        <v>1.6307200000000004</v>
      </c>
      <c r="G173" s="11">
        <v>2828000</v>
      </c>
      <c r="H173" s="45">
        <v>0.8</v>
      </c>
      <c r="I173" s="31">
        <v>1.1479999999999999</v>
      </c>
      <c r="J173" s="223">
        <f t="shared" si="14"/>
        <v>4235000</v>
      </c>
      <c r="K173" s="39">
        <f t="shared" si="11"/>
        <v>4235000</v>
      </c>
      <c r="L173" s="261">
        <f t="shared" si="12"/>
        <v>0</v>
      </c>
      <c r="M173" s="158"/>
    </row>
    <row r="174" spans="1:256" ht="37.5" x14ac:dyDescent="0.3">
      <c r="A174" s="69"/>
      <c r="B174" s="8"/>
      <c r="C174" s="82" t="s">
        <v>280</v>
      </c>
      <c r="D174" s="270" t="s">
        <v>27</v>
      </c>
      <c r="E174" s="27" t="s">
        <v>23</v>
      </c>
      <c r="F174" s="72">
        <f>3.9*0.7</f>
        <v>2.73</v>
      </c>
      <c r="G174" s="36">
        <v>1566000</v>
      </c>
      <c r="H174" s="45">
        <v>0.8</v>
      </c>
      <c r="I174" s="102">
        <v>1.1479999999999999</v>
      </c>
      <c r="J174" s="223">
        <f t="shared" si="14"/>
        <v>3926000</v>
      </c>
      <c r="K174" s="39">
        <f t="shared" si="11"/>
        <v>3926000</v>
      </c>
      <c r="L174" s="261">
        <f t="shared" si="12"/>
        <v>0</v>
      </c>
      <c r="M174" s="158" t="s">
        <v>1068</v>
      </c>
    </row>
    <row r="175" spans="1:256" ht="38.25" x14ac:dyDescent="0.3">
      <c r="A175" s="69"/>
      <c r="B175" s="8"/>
      <c r="C175" s="82" t="s">
        <v>281</v>
      </c>
      <c r="D175" s="267" t="s">
        <v>26</v>
      </c>
      <c r="E175" s="27" t="s">
        <v>23</v>
      </c>
      <c r="F175" s="89">
        <f>2.4*2.6</f>
        <v>6.24</v>
      </c>
      <c r="G175" s="29">
        <v>679000</v>
      </c>
      <c r="H175" s="45">
        <v>0.8</v>
      </c>
      <c r="I175" s="31">
        <v>1.1479999999999999</v>
      </c>
      <c r="J175" s="223">
        <f t="shared" si="14"/>
        <v>3891000</v>
      </c>
      <c r="K175" s="39">
        <f t="shared" si="11"/>
        <v>3891000</v>
      </c>
      <c r="L175" s="261">
        <f t="shared" si="12"/>
        <v>0</v>
      </c>
      <c r="M175" s="14"/>
    </row>
    <row r="176" spans="1:256" ht="40.5" customHeight="1" x14ac:dyDescent="0.3">
      <c r="A176" s="69"/>
      <c r="B176" s="8"/>
      <c r="C176" s="82" t="s">
        <v>282</v>
      </c>
      <c r="D176" s="270" t="s">
        <v>28</v>
      </c>
      <c r="E176" s="27" t="s">
        <v>23</v>
      </c>
      <c r="F176" s="72">
        <f>(0.4*2.2)*6</f>
        <v>5.2800000000000011</v>
      </c>
      <c r="G176" s="11">
        <v>396000</v>
      </c>
      <c r="H176" s="45">
        <v>0.8</v>
      </c>
      <c r="I176" s="31">
        <v>1.1479999999999999</v>
      </c>
      <c r="J176" s="223">
        <f t="shared" si="14"/>
        <v>1920000</v>
      </c>
      <c r="K176" s="39">
        <f t="shared" si="11"/>
        <v>1920000</v>
      </c>
      <c r="L176" s="261">
        <f t="shared" si="12"/>
        <v>0</v>
      </c>
      <c r="M176" s="14"/>
    </row>
    <row r="177" spans="1:13" ht="36.75" customHeight="1" x14ac:dyDescent="0.3">
      <c r="A177" s="69"/>
      <c r="B177" s="8"/>
      <c r="C177" s="82" t="s">
        <v>283</v>
      </c>
      <c r="D177" s="270" t="s">
        <v>29</v>
      </c>
      <c r="E177" s="27" t="s">
        <v>23</v>
      </c>
      <c r="F177" s="72">
        <f>1.4*2.6+(1.1*3.4)*2</f>
        <v>11.120000000000001</v>
      </c>
      <c r="G177" s="29">
        <v>792000</v>
      </c>
      <c r="H177" s="45">
        <v>0.8</v>
      </c>
      <c r="I177" s="31">
        <v>1.1479999999999999</v>
      </c>
      <c r="J177" s="223">
        <f t="shared" si="14"/>
        <v>8088000</v>
      </c>
      <c r="K177" s="39">
        <f t="shared" si="11"/>
        <v>8088000</v>
      </c>
      <c r="L177" s="261">
        <f t="shared" si="12"/>
        <v>0</v>
      </c>
      <c r="M177" s="14"/>
    </row>
    <row r="178" spans="1:13" ht="25.5" x14ac:dyDescent="0.3">
      <c r="A178" s="69"/>
      <c r="B178" s="8"/>
      <c r="C178" s="82" t="s">
        <v>284</v>
      </c>
      <c r="D178" s="272" t="s">
        <v>33</v>
      </c>
      <c r="E178" s="27" t="s">
        <v>23</v>
      </c>
      <c r="F178" s="89">
        <f>1.2*0.6+3.9*0.5</f>
        <v>2.67</v>
      </c>
      <c r="G178" s="29">
        <v>453000</v>
      </c>
      <c r="H178" s="45">
        <v>0.8</v>
      </c>
      <c r="I178" s="31">
        <v>1.1479999999999999</v>
      </c>
      <c r="J178" s="223">
        <f t="shared" si="14"/>
        <v>1111000</v>
      </c>
      <c r="K178" s="39">
        <f t="shared" si="11"/>
        <v>1111000</v>
      </c>
      <c r="L178" s="261">
        <f t="shared" si="12"/>
        <v>0</v>
      </c>
      <c r="M178" s="14"/>
    </row>
    <row r="179" spans="1:13" ht="37.5" x14ac:dyDescent="0.3">
      <c r="A179" s="69"/>
      <c r="B179" s="8"/>
      <c r="C179" s="82" t="s">
        <v>857</v>
      </c>
      <c r="D179" s="270" t="s">
        <v>51</v>
      </c>
      <c r="E179" s="27" t="s">
        <v>23</v>
      </c>
      <c r="F179" s="72">
        <f>1.8*5.2</f>
        <v>9.3600000000000012</v>
      </c>
      <c r="G179" s="29">
        <v>453000</v>
      </c>
      <c r="H179" s="45">
        <v>0.8</v>
      </c>
      <c r="I179" s="31">
        <v>1.1479999999999999</v>
      </c>
      <c r="J179" s="223">
        <f t="shared" si="14"/>
        <v>3894000</v>
      </c>
      <c r="K179" s="39">
        <f t="shared" si="11"/>
        <v>3894000</v>
      </c>
      <c r="L179" s="261">
        <f t="shared" si="12"/>
        <v>0</v>
      </c>
      <c r="M179" s="14"/>
    </row>
    <row r="180" spans="1:13" ht="25.5" x14ac:dyDescent="0.3">
      <c r="A180" s="69"/>
      <c r="B180" s="8"/>
      <c r="C180" s="82" t="s">
        <v>285</v>
      </c>
      <c r="D180" s="270" t="s">
        <v>90</v>
      </c>
      <c r="E180" s="27" t="s">
        <v>23</v>
      </c>
      <c r="F180" s="75">
        <f>1.3*4.9</f>
        <v>6.370000000000001</v>
      </c>
      <c r="G180" s="29">
        <v>181000</v>
      </c>
      <c r="H180" s="45">
        <v>0.8</v>
      </c>
      <c r="I180" s="102">
        <v>1.1479999999999999</v>
      </c>
      <c r="J180" s="223">
        <f t="shared" si="14"/>
        <v>1059000</v>
      </c>
      <c r="K180" s="39">
        <f t="shared" si="11"/>
        <v>1059000</v>
      </c>
      <c r="L180" s="261">
        <f t="shared" si="12"/>
        <v>0</v>
      </c>
      <c r="M180" s="14"/>
    </row>
    <row r="181" spans="1:13" ht="38.25" x14ac:dyDescent="0.3">
      <c r="A181" s="69"/>
      <c r="B181" s="8"/>
      <c r="C181" s="82" t="s">
        <v>286</v>
      </c>
      <c r="D181" s="271" t="s">
        <v>32</v>
      </c>
      <c r="E181" s="27" t="s">
        <v>23</v>
      </c>
      <c r="F181" s="72">
        <f>3.7*5.2</f>
        <v>19.240000000000002</v>
      </c>
      <c r="G181" s="29">
        <v>215000</v>
      </c>
      <c r="H181" s="45">
        <v>0.8</v>
      </c>
      <c r="I181" s="31">
        <v>1.1479999999999999</v>
      </c>
      <c r="J181" s="223">
        <f t="shared" si="14"/>
        <v>3799000</v>
      </c>
      <c r="K181" s="39">
        <f t="shared" si="11"/>
        <v>3799000</v>
      </c>
      <c r="L181" s="261">
        <f t="shared" si="12"/>
        <v>0</v>
      </c>
      <c r="M181" s="14"/>
    </row>
    <row r="182" spans="1:13" ht="35.25" customHeight="1" x14ac:dyDescent="0.3">
      <c r="A182" s="69"/>
      <c r="B182" s="8"/>
      <c r="C182" s="82" t="s">
        <v>287</v>
      </c>
      <c r="D182" s="270" t="s">
        <v>31</v>
      </c>
      <c r="E182" s="27" t="s">
        <v>23</v>
      </c>
      <c r="F182" s="75">
        <f>3*5.2</f>
        <v>15.600000000000001</v>
      </c>
      <c r="G182" s="29">
        <v>339000</v>
      </c>
      <c r="H182" s="45">
        <v>0.8</v>
      </c>
      <c r="I182" s="31">
        <v>1.1479999999999999</v>
      </c>
      <c r="J182" s="223">
        <f t="shared" si="14"/>
        <v>4857000</v>
      </c>
      <c r="K182" s="39">
        <f t="shared" si="11"/>
        <v>4857000</v>
      </c>
      <c r="L182" s="261">
        <f t="shared" si="12"/>
        <v>0</v>
      </c>
      <c r="M182" s="14"/>
    </row>
    <row r="183" spans="1:13" ht="25.5" x14ac:dyDescent="0.3">
      <c r="A183" s="69"/>
      <c r="B183" s="8"/>
      <c r="C183" s="82" t="s">
        <v>288</v>
      </c>
      <c r="D183" s="271" t="s">
        <v>864</v>
      </c>
      <c r="E183" s="27" t="s">
        <v>35</v>
      </c>
      <c r="F183" s="98">
        <v>1</v>
      </c>
      <c r="G183" s="29">
        <v>40910</v>
      </c>
      <c r="H183" s="50">
        <v>1</v>
      </c>
      <c r="I183" s="51">
        <v>1</v>
      </c>
      <c r="J183" s="223">
        <f t="shared" si="14"/>
        <v>41000</v>
      </c>
      <c r="K183" s="39">
        <f t="shared" si="11"/>
        <v>41000</v>
      </c>
      <c r="L183" s="261">
        <f t="shared" si="12"/>
        <v>0</v>
      </c>
      <c r="M183" s="14"/>
    </row>
    <row r="184" spans="1:13" ht="39" customHeight="1" x14ac:dyDescent="0.3">
      <c r="A184" s="69"/>
      <c r="B184" s="8"/>
      <c r="C184" s="82" t="s">
        <v>57</v>
      </c>
      <c r="D184" s="192" t="s">
        <v>58</v>
      </c>
      <c r="E184" s="27" t="s">
        <v>35</v>
      </c>
      <c r="F184" s="98">
        <v>1</v>
      </c>
      <c r="G184" s="49">
        <v>532550</v>
      </c>
      <c r="H184" s="50">
        <v>1</v>
      </c>
      <c r="I184" s="51">
        <v>1</v>
      </c>
      <c r="J184" s="223">
        <f t="shared" si="14"/>
        <v>533000</v>
      </c>
      <c r="K184" s="39">
        <f t="shared" si="11"/>
        <v>533000</v>
      </c>
      <c r="L184" s="261">
        <f t="shared" si="12"/>
        <v>0</v>
      </c>
      <c r="M184" s="14"/>
    </row>
    <row r="185" spans="1:13" ht="25.5" x14ac:dyDescent="0.3">
      <c r="A185" s="69"/>
      <c r="B185" s="8"/>
      <c r="C185" s="82" t="s">
        <v>208</v>
      </c>
      <c r="D185" s="276" t="s">
        <v>41</v>
      </c>
      <c r="E185" s="59" t="s">
        <v>42</v>
      </c>
      <c r="F185" s="98">
        <v>5</v>
      </c>
      <c r="G185" s="11">
        <v>10650</v>
      </c>
      <c r="H185" s="60">
        <v>1</v>
      </c>
      <c r="I185" s="61">
        <v>1</v>
      </c>
      <c r="J185" s="223">
        <f t="shared" si="14"/>
        <v>53000</v>
      </c>
      <c r="K185" s="39">
        <f t="shared" si="11"/>
        <v>53000</v>
      </c>
      <c r="L185" s="261">
        <f t="shared" si="12"/>
        <v>0</v>
      </c>
      <c r="M185" s="14"/>
    </row>
    <row r="186" spans="1:13" ht="38.25" x14ac:dyDescent="0.3">
      <c r="A186" s="69"/>
      <c r="B186" s="8"/>
      <c r="C186" s="82" t="s">
        <v>289</v>
      </c>
      <c r="D186" s="273" t="s">
        <v>44</v>
      </c>
      <c r="E186" s="63" t="s">
        <v>45</v>
      </c>
      <c r="F186" s="77">
        <v>6</v>
      </c>
      <c r="G186" s="46">
        <v>28000</v>
      </c>
      <c r="H186" s="45">
        <v>0.8</v>
      </c>
      <c r="I186" s="31">
        <v>1.1479999999999999</v>
      </c>
      <c r="J186" s="223">
        <f t="shared" si="14"/>
        <v>154000</v>
      </c>
      <c r="K186" s="39">
        <f t="shared" si="11"/>
        <v>154000</v>
      </c>
      <c r="L186" s="261">
        <f t="shared" si="12"/>
        <v>0</v>
      </c>
      <c r="M186" s="14"/>
    </row>
    <row r="187" spans="1:13" ht="38.25" x14ac:dyDescent="0.3">
      <c r="A187" s="69"/>
      <c r="B187" s="8"/>
      <c r="C187" s="82" t="s">
        <v>46</v>
      </c>
      <c r="D187" s="271" t="s">
        <v>47</v>
      </c>
      <c r="E187" s="63" t="s">
        <v>45</v>
      </c>
      <c r="F187" s="77">
        <v>6</v>
      </c>
      <c r="G187" s="46">
        <v>28000</v>
      </c>
      <c r="H187" s="45">
        <v>0.8</v>
      </c>
      <c r="I187" s="31">
        <v>1.1479999999999999</v>
      </c>
      <c r="J187" s="223">
        <f t="shared" si="14"/>
        <v>154000</v>
      </c>
      <c r="K187" s="39">
        <f t="shared" si="11"/>
        <v>154000</v>
      </c>
      <c r="L187" s="261">
        <f t="shared" si="12"/>
        <v>0</v>
      </c>
      <c r="M187" s="14"/>
    </row>
    <row r="188" spans="1:13" ht="75" x14ac:dyDescent="0.3">
      <c r="A188" s="266">
        <v>8</v>
      </c>
      <c r="B188" s="150" t="s">
        <v>290</v>
      </c>
      <c r="C188" s="461" t="s">
        <v>1069</v>
      </c>
      <c r="D188" s="462"/>
      <c r="E188" s="462"/>
      <c r="F188" s="462"/>
      <c r="G188" s="462"/>
      <c r="H188" s="462"/>
      <c r="I188" s="463"/>
      <c r="J188" s="221">
        <f>SUM(J189:J199)</f>
        <v>98733000</v>
      </c>
      <c r="K188" s="39">
        <f t="shared" si="11"/>
        <v>0</v>
      </c>
      <c r="L188" s="261">
        <f t="shared" si="12"/>
        <v>98733000</v>
      </c>
      <c r="M188" s="24"/>
    </row>
    <row r="189" spans="1:13" ht="90" customHeight="1" x14ac:dyDescent="0.3">
      <c r="A189" s="67"/>
      <c r="B189" s="68"/>
      <c r="C189" s="25" t="s">
        <v>1062</v>
      </c>
      <c r="D189" s="267" t="s">
        <v>112</v>
      </c>
      <c r="E189" s="27" t="s">
        <v>23</v>
      </c>
      <c r="F189" s="35">
        <f>24.1+48.3+47.7+35.3</f>
        <v>155.4</v>
      </c>
      <c r="G189" s="464" t="s">
        <v>1064</v>
      </c>
      <c r="H189" s="464"/>
      <c r="I189" s="465"/>
      <c r="J189" s="227"/>
      <c r="K189" s="39"/>
      <c r="L189" s="261">
        <f t="shared" si="12"/>
        <v>0</v>
      </c>
      <c r="M189" s="14"/>
    </row>
    <row r="190" spans="1:13" ht="39.75" customHeight="1" x14ac:dyDescent="0.3">
      <c r="A190" s="69"/>
      <c r="B190" s="8"/>
      <c r="C190" s="82" t="s">
        <v>291</v>
      </c>
      <c r="D190" s="270" t="s">
        <v>29</v>
      </c>
      <c r="E190" s="27" t="s">
        <v>23</v>
      </c>
      <c r="F190" s="72">
        <f>(4.1*0.95)*2</f>
        <v>7.7899999999999991</v>
      </c>
      <c r="G190" s="29">
        <v>792000</v>
      </c>
      <c r="H190" s="45">
        <v>0.8</v>
      </c>
      <c r="I190" s="31">
        <v>1.1479999999999999</v>
      </c>
      <c r="J190" s="223">
        <f t="shared" ref="J190:J199" si="15">ROUND(F190*G190*H190*I190,-3)</f>
        <v>5666000</v>
      </c>
      <c r="K190" s="39">
        <f t="shared" si="11"/>
        <v>5666000</v>
      </c>
      <c r="L190" s="261">
        <f t="shared" si="12"/>
        <v>0</v>
      </c>
      <c r="M190" s="14"/>
    </row>
    <row r="191" spans="1:13" ht="39.75" customHeight="1" x14ac:dyDescent="0.3">
      <c r="A191" s="69"/>
      <c r="B191" s="8"/>
      <c r="C191" s="82" t="s">
        <v>292</v>
      </c>
      <c r="D191" s="272" t="s">
        <v>33</v>
      </c>
      <c r="E191" s="27" t="s">
        <v>23</v>
      </c>
      <c r="F191" s="72">
        <f>(4.8*0.8)*2+26.3*1.3+(3.3*2.2)*2</f>
        <v>56.39</v>
      </c>
      <c r="G191" s="29">
        <v>453000</v>
      </c>
      <c r="H191" s="45">
        <v>0.8</v>
      </c>
      <c r="I191" s="31">
        <v>1.1479999999999999</v>
      </c>
      <c r="J191" s="223">
        <f t="shared" si="15"/>
        <v>23460000</v>
      </c>
      <c r="K191" s="39">
        <f t="shared" si="11"/>
        <v>23460000</v>
      </c>
      <c r="L191" s="261">
        <f t="shared" si="12"/>
        <v>0</v>
      </c>
      <c r="M191" s="14"/>
    </row>
    <row r="192" spans="1:13" ht="39.75" customHeight="1" x14ac:dyDescent="0.3">
      <c r="A192" s="69"/>
      <c r="B192" s="8"/>
      <c r="C192" s="82" t="s">
        <v>293</v>
      </c>
      <c r="D192" s="270" t="s">
        <v>52</v>
      </c>
      <c r="E192" s="27" t="s">
        <v>23</v>
      </c>
      <c r="F192" s="72">
        <f>(6.1*2)*2</f>
        <v>24.4</v>
      </c>
      <c r="G192" s="11" t="s">
        <v>53</v>
      </c>
      <c r="H192" s="45">
        <v>0.8</v>
      </c>
      <c r="I192" s="79">
        <v>1.1479999999999999</v>
      </c>
      <c r="J192" s="223">
        <f t="shared" si="15"/>
        <v>5289000</v>
      </c>
      <c r="K192" s="39">
        <f t="shared" si="11"/>
        <v>5289000</v>
      </c>
      <c r="L192" s="261">
        <f t="shared" si="12"/>
        <v>0</v>
      </c>
      <c r="M192" s="14"/>
    </row>
    <row r="193" spans="1:13" ht="39.75" customHeight="1" x14ac:dyDescent="0.3">
      <c r="A193" s="69"/>
      <c r="B193" s="8"/>
      <c r="C193" s="82" t="s">
        <v>294</v>
      </c>
      <c r="D193" s="276" t="s">
        <v>41</v>
      </c>
      <c r="E193" s="59" t="s">
        <v>42</v>
      </c>
      <c r="F193" s="98">
        <v>4</v>
      </c>
      <c r="G193" s="11">
        <v>10650</v>
      </c>
      <c r="H193" s="60">
        <v>1</v>
      </c>
      <c r="I193" s="61">
        <v>1</v>
      </c>
      <c r="J193" s="223">
        <f t="shared" si="15"/>
        <v>43000</v>
      </c>
      <c r="K193" s="39">
        <f t="shared" si="11"/>
        <v>43000</v>
      </c>
      <c r="L193" s="261">
        <f t="shared" si="12"/>
        <v>0</v>
      </c>
      <c r="M193" s="14"/>
    </row>
    <row r="194" spans="1:13" ht="39.75" customHeight="1" x14ac:dyDescent="0.3">
      <c r="A194" s="69"/>
      <c r="B194" s="8"/>
      <c r="C194" s="82" t="s">
        <v>295</v>
      </c>
      <c r="D194" s="276" t="s">
        <v>41</v>
      </c>
      <c r="E194" s="59" t="s">
        <v>42</v>
      </c>
      <c r="F194" s="98">
        <v>4</v>
      </c>
      <c r="G194" s="11">
        <v>10650</v>
      </c>
      <c r="H194" s="60">
        <v>1</v>
      </c>
      <c r="I194" s="61">
        <v>1</v>
      </c>
      <c r="J194" s="223">
        <f t="shared" si="15"/>
        <v>43000</v>
      </c>
      <c r="K194" s="39">
        <f t="shared" si="11"/>
        <v>43000</v>
      </c>
      <c r="L194" s="261">
        <f t="shared" si="12"/>
        <v>0</v>
      </c>
      <c r="M194" s="14"/>
    </row>
    <row r="195" spans="1:13" ht="39.75" customHeight="1" x14ac:dyDescent="0.3">
      <c r="A195" s="69"/>
      <c r="B195" s="8"/>
      <c r="C195" s="82" t="s">
        <v>43</v>
      </c>
      <c r="D195" s="273" t="s">
        <v>44</v>
      </c>
      <c r="E195" s="63" t="s">
        <v>45</v>
      </c>
      <c r="F195" s="77">
        <v>6</v>
      </c>
      <c r="G195" s="46">
        <v>28000</v>
      </c>
      <c r="H195" s="45">
        <v>0.8</v>
      </c>
      <c r="I195" s="31">
        <v>1.1479999999999999</v>
      </c>
      <c r="J195" s="223">
        <f t="shared" si="15"/>
        <v>154000</v>
      </c>
      <c r="K195" s="39">
        <f t="shared" si="11"/>
        <v>154000</v>
      </c>
      <c r="L195" s="261">
        <f t="shared" si="12"/>
        <v>0</v>
      </c>
      <c r="M195" s="14"/>
    </row>
    <row r="196" spans="1:13" ht="39.75" customHeight="1" x14ac:dyDescent="0.3">
      <c r="A196" s="69"/>
      <c r="B196" s="8"/>
      <c r="C196" s="82" t="s">
        <v>46</v>
      </c>
      <c r="D196" s="271" t="s">
        <v>47</v>
      </c>
      <c r="E196" s="63" t="s">
        <v>45</v>
      </c>
      <c r="F196" s="77">
        <v>6</v>
      </c>
      <c r="G196" s="46">
        <v>28000</v>
      </c>
      <c r="H196" s="45">
        <v>0.8</v>
      </c>
      <c r="I196" s="31">
        <v>1.1479999999999999</v>
      </c>
      <c r="J196" s="223">
        <f t="shared" si="15"/>
        <v>154000</v>
      </c>
      <c r="K196" s="39">
        <f t="shared" si="11"/>
        <v>154000</v>
      </c>
      <c r="L196" s="261">
        <f t="shared" si="12"/>
        <v>0</v>
      </c>
      <c r="M196" s="14"/>
    </row>
    <row r="197" spans="1:13" ht="39.75" customHeight="1" x14ac:dyDescent="0.3">
      <c r="A197" s="69"/>
      <c r="B197" s="8"/>
      <c r="C197" s="143" t="s">
        <v>296</v>
      </c>
      <c r="D197" s="267" t="s">
        <v>24</v>
      </c>
      <c r="E197" s="27" t="s">
        <v>25</v>
      </c>
      <c r="F197" s="28">
        <f>(0.25*0.25*1.75)*2</f>
        <v>0.21875</v>
      </c>
      <c r="G197" s="29">
        <v>2828000</v>
      </c>
      <c r="H197" s="45">
        <v>0.8</v>
      </c>
      <c r="I197" s="31">
        <v>1.1479999999999999</v>
      </c>
      <c r="J197" s="223">
        <f t="shared" si="15"/>
        <v>568000</v>
      </c>
      <c r="K197" s="39">
        <f t="shared" si="11"/>
        <v>568000</v>
      </c>
      <c r="L197" s="261">
        <f t="shared" si="12"/>
        <v>0</v>
      </c>
      <c r="M197" s="14"/>
    </row>
    <row r="198" spans="1:13" ht="39.75" customHeight="1" x14ac:dyDescent="0.3">
      <c r="A198" s="104"/>
      <c r="B198" s="105"/>
      <c r="C198" s="113" t="s">
        <v>297</v>
      </c>
      <c r="D198" s="271" t="s">
        <v>32</v>
      </c>
      <c r="E198" s="27" t="s">
        <v>23</v>
      </c>
      <c r="F198" s="123">
        <f>5.2*26.3</f>
        <v>136.76000000000002</v>
      </c>
      <c r="G198" s="29">
        <v>215000</v>
      </c>
      <c r="H198" s="45">
        <v>0.8</v>
      </c>
      <c r="I198" s="31">
        <v>1.1479999999999999</v>
      </c>
      <c r="J198" s="223">
        <f t="shared" si="15"/>
        <v>27004000</v>
      </c>
      <c r="K198" s="39">
        <f t="shared" si="11"/>
        <v>27004000</v>
      </c>
      <c r="L198" s="261">
        <f t="shared" si="12"/>
        <v>0</v>
      </c>
      <c r="M198" s="14"/>
    </row>
    <row r="199" spans="1:13" ht="39.75" customHeight="1" x14ac:dyDescent="0.3">
      <c r="A199" s="69"/>
      <c r="B199" s="8"/>
      <c r="C199" s="82" t="s">
        <v>298</v>
      </c>
      <c r="D199" s="271" t="s">
        <v>32</v>
      </c>
      <c r="E199" s="27" t="s">
        <v>23</v>
      </c>
      <c r="F199" s="91">
        <f>7*26.3</f>
        <v>184.1</v>
      </c>
      <c r="G199" s="29">
        <v>215000</v>
      </c>
      <c r="H199" s="45">
        <v>0.8</v>
      </c>
      <c r="I199" s="31">
        <v>1.1479999999999999</v>
      </c>
      <c r="J199" s="223">
        <f t="shared" si="15"/>
        <v>36352000</v>
      </c>
      <c r="K199" s="39">
        <f t="shared" ref="K199:K262" si="16">ROUND(F199*G199*H199*I199,-3)</f>
        <v>36352000</v>
      </c>
      <c r="L199" s="261">
        <f t="shared" si="12"/>
        <v>0</v>
      </c>
      <c r="M199" s="14"/>
    </row>
    <row r="200" spans="1:13" ht="61.5" customHeight="1" x14ac:dyDescent="0.3">
      <c r="A200" s="149">
        <v>9</v>
      </c>
      <c r="B200" s="150" t="s">
        <v>299</v>
      </c>
      <c r="C200" s="455" t="s">
        <v>1073</v>
      </c>
      <c r="D200" s="456"/>
      <c r="E200" s="456"/>
      <c r="F200" s="456"/>
      <c r="G200" s="456"/>
      <c r="H200" s="456"/>
      <c r="I200" s="457"/>
      <c r="J200" s="221">
        <f>SUM(J201:J210)</f>
        <v>206890000</v>
      </c>
      <c r="K200" s="39">
        <f t="shared" si="16"/>
        <v>0</v>
      </c>
      <c r="L200" s="261">
        <f t="shared" si="12"/>
        <v>206890000</v>
      </c>
      <c r="M200" s="24"/>
    </row>
    <row r="201" spans="1:13" ht="90" customHeight="1" x14ac:dyDescent="0.3">
      <c r="A201" s="69"/>
      <c r="B201" s="8"/>
      <c r="C201" s="25" t="s">
        <v>1062</v>
      </c>
      <c r="D201" s="267" t="s">
        <v>112</v>
      </c>
      <c r="E201" s="27" t="s">
        <v>23</v>
      </c>
      <c r="F201" s="35">
        <v>45.9</v>
      </c>
      <c r="G201" s="464" t="s">
        <v>1064</v>
      </c>
      <c r="H201" s="464"/>
      <c r="I201" s="465"/>
      <c r="J201" s="223"/>
      <c r="K201" s="39"/>
      <c r="L201" s="261">
        <f t="shared" si="12"/>
        <v>0</v>
      </c>
      <c r="M201" s="14"/>
    </row>
    <row r="202" spans="1:13" ht="56.25" x14ac:dyDescent="0.3">
      <c r="A202" s="69"/>
      <c r="B202" s="8"/>
      <c r="C202" s="82" t="s">
        <v>300</v>
      </c>
      <c r="D202" s="274" t="s">
        <v>63</v>
      </c>
      <c r="E202" s="27" t="s">
        <v>23</v>
      </c>
      <c r="F202" s="75">
        <f>8.1*7.6</f>
        <v>61.559999999999995</v>
      </c>
      <c r="G202" s="100">
        <f>2975000</f>
        <v>2975000</v>
      </c>
      <c r="H202" s="45">
        <v>0.8</v>
      </c>
      <c r="I202" s="102">
        <v>1.1479999999999999</v>
      </c>
      <c r="J202" s="223">
        <f t="shared" ref="J202:J210" si="17">ROUND(F202*G202*H202*I202,-3)</f>
        <v>168197000</v>
      </c>
      <c r="K202" s="39">
        <f t="shared" si="16"/>
        <v>168197000</v>
      </c>
      <c r="L202" s="261">
        <f t="shared" si="12"/>
        <v>0</v>
      </c>
      <c r="M202" s="14"/>
    </row>
    <row r="203" spans="1:13" ht="37.5" customHeight="1" x14ac:dyDescent="0.3">
      <c r="A203" s="153"/>
      <c r="B203" s="154"/>
      <c r="C203" s="155" t="s">
        <v>301</v>
      </c>
      <c r="D203" s="270" t="s">
        <v>51</v>
      </c>
      <c r="E203" s="27" t="s">
        <v>23</v>
      </c>
      <c r="F203" s="156">
        <f>5.5*8.1</f>
        <v>44.55</v>
      </c>
      <c r="G203" s="29">
        <v>453000</v>
      </c>
      <c r="H203" s="45">
        <v>0.8</v>
      </c>
      <c r="I203" s="31">
        <v>1.1479999999999999</v>
      </c>
      <c r="J203" s="223">
        <f t="shared" si="17"/>
        <v>18534000</v>
      </c>
      <c r="K203" s="39">
        <f t="shared" si="16"/>
        <v>18534000</v>
      </c>
      <c r="L203" s="261">
        <f t="shared" si="12"/>
        <v>0</v>
      </c>
      <c r="M203" s="24"/>
    </row>
    <row r="204" spans="1:13" ht="25.5" x14ac:dyDescent="0.3">
      <c r="A204" s="69"/>
      <c r="B204" s="8"/>
      <c r="C204" s="82" t="s">
        <v>1071</v>
      </c>
      <c r="D204" s="270" t="s">
        <v>66</v>
      </c>
      <c r="E204" s="27" t="s">
        <v>23</v>
      </c>
      <c r="F204" s="72">
        <f>(1.2*4.1)*2+5.7*0.2</f>
        <v>10.979999999999999</v>
      </c>
      <c r="G204" s="29">
        <v>339000</v>
      </c>
      <c r="H204" s="45">
        <v>0.8</v>
      </c>
      <c r="I204" s="31">
        <v>1.1479999999999999</v>
      </c>
      <c r="J204" s="223">
        <f t="shared" si="17"/>
        <v>3418000</v>
      </c>
      <c r="K204" s="39">
        <f t="shared" si="16"/>
        <v>3418000</v>
      </c>
      <c r="L204" s="261">
        <f t="shared" si="12"/>
        <v>0</v>
      </c>
      <c r="M204" s="14"/>
    </row>
    <row r="205" spans="1:13" ht="38.25" x14ac:dyDescent="0.3">
      <c r="A205" s="69"/>
      <c r="B205" s="8"/>
      <c r="C205" s="82" t="s">
        <v>302</v>
      </c>
      <c r="D205" s="271" t="s">
        <v>32</v>
      </c>
      <c r="E205" s="27" t="s">
        <v>23</v>
      </c>
      <c r="F205" s="72">
        <f>5.5*8.1</f>
        <v>44.55</v>
      </c>
      <c r="G205" s="29">
        <v>215000</v>
      </c>
      <c r="H205" s="45">
        <v>0.8</v>
      </c>
      <c r="I205" s="31">
        <v>1.1479999999999999</v>
      </c>
      <c r="J205" s="223">
        <f t="shared" si="17"/>
        <v>8797000</v>
      </c>
      <c r="K205" s="39">
        <f t="shared" si="16"/>
        <v>8797000</v>
      </c>
      <c r="L205" s="261">
        <f t="shared" si="12"/>
        <v>0</v>
      </c>
      <c r="M205" s="14"/>
    </row>
    <row r="206" spans="1:13" ht="38.25" x14ac:dyDescent="0.3">
      <c r="A206" s="69"/>
      <c r="B206" s="8"/>
      <c r="C206" s="82" t="s">
        <v>303</v>
      </c>
      <c r="D206" s="271" t="s">
        <v>32</v>
      </c>
      <c r="E206" s="27" t="s">
        <v>23</v>
      </c>
      <c r="F206" s="72">
        <f>4.2*8.1</f>
        <v>34.020000000000003</v>
      </c>
      <c r="G206" s="29">
        <v>215000</v>
      </c>
      <c r="H206" s="45">
        <v>0.8</v>
      </c>
      <c r="I206" s="31">
        <v>1.1479999999999999</v>
      </c>
      <c r="J206" s="223">
        <f t="shared" si="17"/>
        <v>6717000</v>
      </c>
      <c r="K206" s="39">
        <f t="shared" si="16"/>
        <v>6717000</v>
      </c>
      <c r="L206" s="261">
        <f t="shared" si="12"/>
        <v>0</v>
      </c>
      <c r="M206" s="14"/>
    </row>
    <row r="207" spans="1:13" ht="43.5" customHeight="1" x14ac:dyDescent="0.3">
      <c r="A207" s="69"/>
      <c r="B207" s="8"/>
      <c r="C207" s="82" t="s">
        <v>1072</v>
      </c>
      <c r="D207" s="270" t="s">
        <v>52</v>
      </c>
      <c r="E207" s="96" t="s">
        <v>91</v>
      </c>
      <c r="F207" s="72">
        <f>0.5*8.1</f>
        <v>4.05</v>
      </c>
      <c r="G207" s="11">
        <v>236000</v>
      </c>
      <c r="H207" s="45">
        <v>0.8</v>
      </c>
      <c r="I207" s="31">
        <v>1.1479999999999999</v>
      </c>
      <c r="J207" s="223">
        <f>ROUND(F207*G207*H207*I207,-3)</f>
        <v>878000</v>
      </c>
      <c r="K207" s="39">
        <f t="shared" si="16"/>
        <v>878000</v>
      </c>
      <c r="L207" s="261">
        <f t="shared" si="12"/>
        <v>0</v>
      </c>
      <c r="M207" s="14"/>
    </row>
    <row r="208" spans="1:13" ht="25.5" x14ac:dyDescent="0.3">
      <c r="A208" s="69"/>
      <c r="B208" s="8"/>
      <c r="C208" s="82" t="s">
        <v>304</v>
      </c>
      <c r="D208" s="271" t="s">
        <v>864</v>
      </c>
      <c r="E208" s="27" t="s">
        <v>35</v>
      </c>
      <c r="F208" s="98">
        <v>1</v>
      </c>
      <c r="G208" s="29">
        <v>40910</v>
      </c>
      <c r="H208" s="50">
        <v>1</v>
      </c>
      <c r="I208" s="51">
        <v>1</v>
      </c>
      <c r="J208" s="223">
        <f t="shared" si="17"/>
        <v>41000</v>
      </c>
      <c r="K208" s="39">
        <f t="shared" si="16"/>
        <v>41000</v>
      </c>
      <c r="L208" s="261">
        <f t="shared" si="12"/>
        <v>0</v>
      </c>
      <c r="M208" s="14"/>
    </row>
    <row r="209" spans="1:13" ht="38.25" x14ac:dyDescent="0.3">
      <c r="A209" s="69"/>
      <c r="B209" s="8"/>
      <c r="C209" s="82" t="s">
        <v>46</v>
      </c>
      <c r="D209" s="271" t="s">
        <v>47</v>
      </c>
      <c r="E209" s="63" t="s">
        <v>45</v>
      </c>
      <c r="F209" s="77">
        <v>6</v>
      </c>
      <c r="G209" s="46">
        <v>28000</v>
      </c>
      <c r="H209" s="45">
        <v>0.8</v>
      </c>
      <c r="I209" s="31">
        <v>1.1479999999999999</v>
      </c>
      <c r="J209" s="223">
        <f t="shared" si="17"/>
        <v>154000</v>
      </c>
      <c r="K209" s="39">
        <f t="shared" si="16"/>
        <v>154000</v>
      </c>
      <c r="L209" s="261">
        <f t="shared" ref="L209:L272" si="18">J209-K209</f>
        <v>0</v>
      </c>
      <c r="M209" s="14"/>
    </row>
    <row r="210" spans="1:13" ht="38.25" x14ac:dyDescent="0.3">
      <c r="A210" s="69"/>
      <c r="B210" s="8"/>
      <c r="C210" s="82" t="s">
        <v>305</v>
      </c>
      <c r="D210" s="271" t="s">
        <v>47</v>
      </c>
      <c r="E210" s="63" t="s">
        <v>45</v>
      </c>
      <c r="F210" s="77">
        <v>6</v>
      </c>
      <c r="G210" s="46">
        <v>28000</v>
      </c>
      <c r="H210" s="45">
        <v>0.8</v>
      </c>
      <c r="I210" s="31">
        <v>1.1479999999999999</v>
      </c>
      <c r="J210" s="223">
        <f t="shared" si="17"/>
        <v>154000</v>
      </c>
      <c r="K210" s="39">
        <f t="shared" si="16"/>
        <v>154000</v>
      </c>
      <c r="L210" s="261">
        <f t="shared" si="18"/>
        <v>0</v>
      </c>
      <c r="M210" s="14"/>
    </row>
    <row r="211" spans="1:13" ht="61.5" customHeight="1" x14ac:dyDescent="0.3">
      <c r="A211" s="149">
        <v>10</v>
      </c>
      <c r="B211" s="150" t="s">
        <v>306</v>
      </c>
      <c r="C211" s="455" t="s">
        <v>1074</v>
      </c>
      <c r="D211" s="456"/>
      <c r="E211" s="456"/>
      <c r="F211" s="456"/>
      <c r="G211" s="456"/>
      <c r="H211" s="456"/>
      <c r="I211" s="457"/>
      <c r="J211" s="221">
        <f>SUM(J212:J231)</f>
        <v>112523000</v>
      </c>
      <c r="K211" s="39">
        <f t="shared" si="16"/>
        <v>0</v>
      </c>
      <c r="L211" s="261">
        <f t="shared" si="18"/>
        <v>112523000</v>
      </c>
      <c r="M211" s="24"/>
    </row>
    <row r="212" spans="1:13" ht="90" customHeight="1" x14ac:dyDescent="0.25">
      <c r="A212" s="67"/>
      <c r="B212" s="68"/>
      <c r="C212" s="25" t="s">
        <v>1062</v>
      </c>
      <c r="D212" s="267" t="s">
        <v>112</v>
      </c>
      <c r="E212" s="27" t="s">
        <v>23</v>
      </c>
      <c r="F212" s="35">
        <v>53.3</v>
      </c>
      <c r="G212" s="464" t="s">
        <v>1064</v>
      </c>
      <c r="H212" s="464"/>
      <c r="I212" s="465"/>
      <c r="J212" s="227"/>
      <c r="K212" s="39"/>
      <c r="L212" s="261">
        <f t="shared" si="18"/>
        <v>0</v>
      </c>
      <c r="M212" s="251"/>
    </row>
    <row r="213" spans="1:13" ht="38.25" x14ac:dyDescent="0.3">
      <c r="A213" s="67"/>
      <c r="B213" s="68"/>
      <c r="C213" s="20" t="s">
        <v>307</v>
      </c>
      <c r="D213" s="267" t="s">
        <v>24</v>
      </c>
      <c r="E213" s="27" t="s">
        <v>25</v>
      </c>
      <c r="F213" s="28">
        <f>(0.6*0.6*4)*2</f>
        <v>2.88</v>
      </c>
      <c r="G213" s="29">
        <v>2828000</v>
      </c>
      <c r="H213" s="45">
        <v>0.8</v>
      </c>
      <c r="I213" s="31">
        <v>1.1479999999999999</v>
      </c>
      <c r="J213" s="223">
        <f t="shared" ref="J213:J231" si="19">ROUND(F213*G213*H213*I213,-3)</f>
        <v>7480000</v>
      </c>
      <c r="K213" s="39">
        <f t="shared" si="16"/>
        <v>7480000</v>
      </c>
      <c r="L213" s="261">
        <f t="shared" si="18"/>
        <v>0</v>
      </c>
      <c r="M213" s="14"/>
    </row>
    <row r="214" spans="1:13" ht="41.25" customHeight="1" x14ac:dyDescent="0.3">
      <c r="A214" s="69"/>
      <c r="B214" s="8"/>
      <c r="C214" s="82" t="s">
        <v>308</v>
      </c>
      <c r="D214" s="270" t="s">
        <v>28</v>
      </c>
      <c r="E214" s="27" t="s">
        <v>23</v>
      </c>
      <c r="F214" s="72">
        <f>(0.6*2.5)*8</f>
        <v>12</v>
      </c>
      <c r="G214" s="11">
        <v>396000</v>
      </c>
      <c r="H214" s="45">
        <v>0.8</v>
      </c>
      <c r="I214" s="31">
        <v>1.1479999999999999</v>
      </c>
      <c r="J214" s="223">
        <f t="shared" si="19"/>
        <v>4364000</v>
      </c>
      <c r="K214" s="39">
        <f t="shared" si="16"/>
        <v>4364000</v>
      </c>
      <c r="L214" s="261">
        <f t="shared" si="18"/>
        <v>0</v>
      </c>
      <c r="M214" s="14"/>
    </row>
    <row r="215" spans="1:13" ht="56.25" x14ac:dyDescent="0.3">
      <c r="A215" s="69"/>
      <c r="B215" s="8"/>
      <c r="C215" s="82" t="s">
        <v>1075</v>
      </c>
      <c r="D215" s="271" t="s">
        <v>309</v>
      </c>
      <c r="E215" s="27" t="s">
        <v>23</v>
      </c>
      <c r="F215" s="72">
        <f>2.4*5.1</f>
        <v>12.239999999999998</v>
      </c>
      <c r="G215" s="29">
        <v>1566000</v>
      </c>
      <c r="H215" s="45">
        <v>0.8</v>
      </c>
      <c r="I215" s="159">
        <v>1.1479999999999999</v>
      </c>
      <c r="J215" s="223">
        <f t="shared" si="19"/>
        <v>17604000</v>
      </c>
      <c r="K215" s="39">
        <f t="shared" si="16"/>
        <v>17604000</v>
      </c>
      <c r="L215" s="261">
        <f t="shared" si="18"/>
        <v>0</v>
      </c>
      <c r="M215" s="14"/>
    </row>
    <row r="216" spans="1:13" ht="38.25" x14ac:dyDescent="0.3">
      <c r="A216" s="69"/>
      <c r="B216" s="8"/>
      <c r="C216" s="82" t="s">
        <v>310</v>
      </c>
      <c r="D216" s="267" t="s">
        <v>24</v>
      </c>
      <c r="E216" s="8" t="s">
        <v>25</v>
      </c>
      <c r="F216" s="72">
        <f>(3.4*0.2*0.1)*2</f>
        <v>0.13600000000000001</v>
      </c>
      <c r="G216" s="29">
        <v>2828000</v>
      </c>
      <c r="H216" s="45">
        <v>0.8</v>
      </c>
      <c r="I216" s="31">
        <v>1.1479999999999999</v>
      </c>
      <c r="J216" s="223">
        <f t="shared" si="19"/>
        <v>353000</v>
      </c>
      <c r="K216" s="39">
        <f t="shared" si="16"/>
        <v>353000</v>
      </c>
      <c r="L216" s="261">
        <f t="shared" si="18"/>
        <v>0</v>
      </c>
      <c r="M216" s="14"/>
    </row>
    <row r="217" spans="1:13" ht="37.5" x14ac:dyDescent="0.3">
      <c r="A217" s="69"/>
      <c r="B217" s="8"/>
      <c r="C217" s="82" t="s">
        <v>311</v>
      </c>
      <c r="D217" s="270" t="s">
        <v>29</v>
      </c>
      <c r="E217" s="27" t="s">
        <v>23</v>
      </c>
      <c r="F217" s="72">
        <f>2.45*4.6+(1.55*5)*2+3.1*0.5</f>
        <v>28.32</v>
      </c>
      <c r="G217" s="29">
        <v>792000</v>
      </c>
      <c r="H217" s="45">
        <v>0.8</v>
      </c>
      <c r="I217" s="31">
        <v>1.1479999999999999</v>
      </c>
      <c r="J217" s="223">
        <f t="shared" si="19"/>
        <v>20599000</v>
      </c>
      <c r="K217" s="39">
        <f t="shared" si="16"/>
        <v>20599000</v>
      </c>
      <c r="L217" s="261">
        <f t="shared" si="18"/>
        <v>0</v>
      </c>
      <c r="M217" s="158"/>
    </row>
    <row r="218" spans="1:13" ht="37.5" x14ac:dyDescent="0.3">
      <c r="A218" s="69"/>
      <c r="B218" s="8"/>
      <c r="C218" s="82" t="s">
        <v>312</v>
      </c>
      <c r="D218" s="272" t="s">
        <v>33</v>
      </c>
      <c r="E218" s="27" t="s">
        <v>23</v>
      </c>
      <c r="F218" s="72">
        <f>0.7*4.6+(5.5*1.2)*2</f>
        <v>16.419999999999998</v>
      </c>
      <c r="G218" s="29">
        <v>453000</v>
      </c>
      <c r="H218" s="45">
        <v>0.8</v>
      </c>
      <c r="I218" s="31">
        <v>1.1479999999999999</v>
      </c>
      <c r="J218" s="223">
        <f t="shared" si="19"/>
        <v>6831000</v>
      </c>
      <c r="K218" s="39">
        <f t="shared" si="16"/>
        <v>6831000</v>
      </c>
      <c r="L218" s="261">
        <f t="shared" si="18"/>
        <v>0</v>
      </c>
      <c r="M218" s="14"/>
    </row>
    <row r="219" spans="1:13" ht="38.25" x14ac:dyDescent="0.3">
      <c r="A219" s="69"/>
      <c r="B219" s="8"/>
      <c r="C219" s="82" t="s">
        <v>313</v>
      </c>
      <c r="D219" s="267" t="s">
        <v>26</v>
      </c>
      <c r="E219" s="27" t="s">
        <v>23</v>
      </c>
      <c r="F219" s="89">
        <f>2.5*3.2</f>
        <v>8</v>
      </c>
      <c r="G219" s="29">
        <v>679000</v>
      </c>
      <c r="H219" s="45">
        <v>0.8</v>
      </c>
      <c r="I219" s="31">
        <v>1.1479999999999999</v>
      </c>
      <c r="J219" s="223">
        <f t="shared" si="19"/>
        <v>4989000</v>
      </c>
      <c r="K219" s="39">
        <f t="shared" si="16"/>
        <v>4989000</v>
      </c>
      <c r="L219" s="261">
        <f t="shared" si="18"/>
        <v>0</v>
      </c>
      <c r="M219" s="14"/>
    </row>
    <row r="220" spans="1:13" ht="38.25" x14ac:dyDescent="0.3">
      <c r="A220" s="69"/>
      <c r="B220" s="8"/>
      <c r="C220" s="82" t="s">
        <v>314</v>
      </c>
      <c r="D220" s="267" t="s">
        <v>24</v>
      </c>
      <c r="E220" s="27" t="s">
        <v>25</v>
      </c>
      <c r="F220" s="72">
        <f>(2.3*0.25*0.25)*6</f>
        <v>0.86249999999999993</v>
      </c>
      <c r="G220" s="29">
        <v>2828000</v>
      </c>
      <c r="H220" s="45">
        <v>0.8</v>
      </c>
      <c r="I220" s="31">
        <v>1.1479999999999999</v>
      </c>
      <c r="J220" s="223">
        <f t="shared" si="19"/>
        <v>2240000</v>
      </c>
      <c r="K220" s="39">
        <f t="shared" si="16"/>
        <v>2240000</v>
      </c>
      <c r="L220" s="261">
        <f t="shared" si="18"/>
        <v>0</v>
      </c>
      <c r="M220" s="14"/>
    </row>
    <row r="221" spans="1:13" ht="36" customHeight="1" x14ac:dyDescent="0.3">
      <c r="A221" s="69"/>
      <c r="B221" s="8"/>
      <c r="C221" s="82" t="s">
        <v>315</v>
      </c>
      <c r="D221" s="270" t="s">
        <v>66</v>
      </c>
      <c r="E221" s="27" t="s">
        <v>23</v>
      </c>
      <c r="F221" s="72">
        <f>3.1*0.65</f>
        <v>2.0150000000000001</v>
      </c>
      <c r="G221" s="29">
        <v>339000</v>
      </c>
      <c r="H221" s="45">
        <v>0.8</v>
      </c>
      <c r="I221" s="31">
        <v>1.1479999999999999</v>
      </c>
      <c r="J221" s="223">
        <f t="shared" si="19"/>
        <v>627000</v>
      </c>
      <c r="K221" s="39">
        <f t="shared" si="16"/>
        <v>627000</v>
      </c>
      <c r="L221" s="261">
        <f t="shared" si="18"/>
        <v>0</v>
      </c>
      <c r="M221" s="14"/>
    </row>
    <row r="222" spans="1:13" ht="36" customHeight="1" x14ac:dyDescent="0.3">
      <c r="A222" s="69"/>
      <c r="B222" s="8"/>
      <c r="C222" s="82" t="s">
        <v>316</v>
      </c>
      <c r="D222" s="270" t="s">
        <v>31</v>
      </c>
      <c r="E222" s="27" t="s">
        <v>23</v>
      </c>
      <c r="F222" s="75">
        <f>5.7*8.6</f>
        <v>49.019999999999996</v>
      </c>
      <c r="G222" s="29">
        <v>339000</v>
      </c>
      <c r="H222" s="45">
        <v>0.8</v>
      </c>
      <c r="I222" s="31">
        <v>1.1479999999999999</v>
      </c>
      <c r="J222" s="223">
        <f t="shared" si="19"/>
        <v>15262000</v>
      </c>
      <c r="K222" s="39">
        <f t="shared" si="16"/>
        <v>15262000</v>
      </c>
      <c r="L222" s="261">
        <f t="shared" si="18"/>
        <v>0</v>
      </c>
      <c r="M222" s="14"/>
    </row>
    <row r="223" spans="1:13" ht="25.5" x14ac:dyDescent="0.3">
      <c r="A223" s="69"/>
      <c r="B223" s="8"/>
      <c r="C223" s="82" t="s">
        <v>317</v>
      </c>
      <c r="D223" s="270" t="s">
        <v>31</v>
      </c>
      <c r="E223" s="27" t="s">
        <v>23</v>
      </c>
      <c r="F223" s="75">
        <f>6.9*9.3</f>
        <v>64.17</v>
      </c>
      <c r="G223" s="29">
        <v>339000</v>
      </c>
      <c r="H223" s="45">
        <v>0.8</v>
      </c>
      <c r="I223" s="31">
        <v>1.1479999999999999</v>
      </c>
      <c r="J223" s="223">
        <f t="shared" si="19"/>
        <v>19979000</v>
      </c>
      <c r="K223" s="39">
        <f t="shared" si="16"/>
        <v>19979000</v>
      </c>
      <c r="L223" s="261">
        <f t="shared" si="18"/>
        <v>0</v>
      </c>
      <c r="M223" s="14"/>
    </row>
    <row r="224" spans="1:13" ht="38.25" x14ac:dyDescent="0.3">
      <c r="A224" s="69"/>
      <c r="B224" s="8"/>
      <c r="C224" s="82" t="s">
        <v>43</v>
      </c>
      <c r="D224" s="273" t="s">
        <v>44</v>
      </c>
      <c r="E224" s="63" t="s">
        <v>45</v>
      </c>
      <c r="F224" s="77">
        <v>6</v>
      </c>
      <c r="G224" s="46">
        <v>28000</v>
      </c>
      <c r="H224" s="45">
        <v>0.8</v>
      </c>
      <c r="I224" s="31">
        <v>1.1479999999999999</v>
      </c>
      <c r="J224" s="223">
        <f t="shared" si="19"/>
        <v>154000</v>
      </c>
      <c r="K224" s="39">
        <f t="shared" si="16"/>
        <v>154000</v>
      </c>
      <c r="L224" s="261">
        <f t="shared" si="18"/>
        <v>0</v>
      </c>
      <c r="M224" s="14"/>
    </row>
    <row r="225" spans="1:13" ht="38.25" x14ac:dyDescent="0.3">
      <c r="A225" s="69"/>
      <c r="B225" s="8"/>
      <c r="C225" s="82" t="s">
        <v>46</v>
      </c>
      <c r="D225" s="271" t="s">
        <v>47</v>
      </c>
      <c r="E225" s="63" t="s">
        <v>45</v>
      </c>
      <c r="F225" s="77">
        <v>6</v>
      </c>
      <c r="G225" s="46">
        <v>28000</v>
      </c>
      <c r="H225" s="45">
        <v>0.8</v>
      </c>
      <c r="I225" s="31">
        <v>1.1479999999999999</v>
      </c>
      <c r="J225" s="223">
        <f t="shared" si="19"/>
        <v>154000</v>
      </c>
      <c r="K225" s="39">
        <f t="shared" si="16"/>
        <v>154000</v>
      </c>
      <c r="L225" s="261">
        <f t="shared" si="18"/>
        <v>0</v>
      </c>
      <c r="M225" s="14"/>
    </row>
    <row r="226" spans="1:13" ht="25.5" x14ac:dyDescent="0.3">
      <c r="A226" s="69"/>
      <c r="B226" s="8"/>
      <c r="C226" s="82" t="s">
        <v>318</v>
      </c>
      <c r="D226" s="277" t="s">
        <v>824</v>
      </c>
      <c r="E226" s="174" t="s">
        <v>828</v>
      </c>
      <c r="F226" s="72">
        <v>3</v>
      </c>
      <c r="G226" s="180">
        <v>3200</v>
      </c>
      <c r="H226" s="50">
        <v>1</v>
      </c>
      <c r="I226" s="51">
        <v>1</v>
      </c>
      <c r="J226" s="229">
        <f t="shared" si="19"/>
        <v>10000</v>
      </c>
      <c r="K226" s="39">
        <f t="shared" si="16"/>
        <v>10000</v>
      </c>
      <c r="L226" s="261">
        <f t="shared" si="18"/>
        <v>0</v>
      </c>
      <c r="M226" s="14"/>
    </row>
    <row r="227" spans="1:13" ht="39" customHeight="1" x14ac:dyDescent="0.3">
      <c r="A227" s="69"/>
      <c r="B227" s="8"/>
      <c r="C227" s="113" t="s">
        <v>319</v>
      </c>
      <c r="D227" s="276" t="s">
        <v>41</v>
      </c>
      <c r="E227" s="59" t="s">
        <v>42</v>
      </c>
      <c r="F227" s="116">
        <v>12</v>
      </c>
      <c r="G227" s="115">
        <v>31950</v>
      </c>
      <c r="H227" s="60">
        <v>1</v>
      </c>
      <c r="I227" s="61">
        <v>1</v>
      </c>
      <c r="J227" s="223">
        <f t="shared" si="19"/>
        <v>383000</v>
      </c>
      <c r="K227" s="39">
        <f t="shared" si="16"/>
        <v>383000</v>
      </c>
      <c r="L227" s="261">
        <f t="shared" si="18"/>
        <v>0</v>
      </c>
      <c r="M227" s="14"/>
    </row>
    <row r="228" spans="1:13" ht="25.5" x14ac:dyDescent="0.3">
      <c r="A228" s="69"/>
      <c r="B228" s="8"/>
      <c r="C228" s="82" t="s">
        <v>320</v>
      </c>
      <c r="D228" s="276" t="s">
        <v>41</v>
      </c>
      <c r="E228" s="59" t="s">
        <v>42</v>
      </c>
      <c r="F228" s="98">
        <v>15</v>
      </c>
      <c r="G228" s="11">
        <v>10650</v>
      </c>
      <c r="H228" s="60">
        <v>1</v>
      </c>
      <c r="I228" s="61">
        <v>1</v>
      </c>
      <c r="J228" s="223">
        <f t="shared" si="19"/>
        <v>160000</v>
      </c>
      <c r="K228" s="39">
        <f t="shared" si="16"/>
        <v>160000</v>
      </c>
      <c r="L228" s="261">
        <f t="shared" si="18"/>
        <v>0</v>
      </c>
      <c r="M228" s="14"/>
    </row>
    <row r="229" spans="1:13" ht="40.5" customHeight="1" x14ac:dyDescent="0.3">
      <c r="A229" s="69"/>
      <c r="B229" s="8"/>
      <c r="C229" s="82" t="s">
        <v>321</v>
      </c>
      <c r="D229" s="278" t="s">
        <v>38</v>
      </c>
      <c r="E229" s="141" t="s">
        <v>39</v>
      </c>
      <c r="F229" s="98">
        <v>2</v>
      </c>
      <c r="G229" s="145">
        <v>1018000</v>
      </c>
      <c r="H229" s="45">
        <v>0.8</v>
      </c>
      <c r="I229" s="146">
        <v>1.1479999999999999</v>
      </c>
      <c r="J229" s="226">
        <f t="shared" si="19"/>
        <v>1870000</v>
      </c>
      <c r="K229" s="39">
        <f t="shared" si="16"/>
        <v>1870000</v>
      </c>
      <c r="L229" s="261">
        <f t="shared" si="18"/>
        <v>0</v>
      </c>
      <c r="M229" s="14"/>
    </row>
    <row r="230" spans="1:13" ht="40.5" customHeight="1" x14ac:dyDescent="0.3">
      <c r="A230" s="69"/>
      <c r="B230" s="8"/>
      <c r="C230" s="82" t="s">
        <v>322</v>
      </c>
      <c r="D230" s="272" t="s">
        <v>33</v>
      </c>
      <c r="E230" s="27" t="s">
        <v>23</v>
      </c>
      <c r="F230" s="89">
        <f>0.3*3.4+5.7*1.4</f>
        <v>9</v>
      </c>
      <c r="G230" s="29">
        <v>453000</v>
      </c>
      <c r="H230" s="45">
        <v>0.8</v>
      </c>
      <c r="I230" s="31">
        <v>1.1479999999999999</v>
      </c>
      <c r="J230" s="223">
        <f t="shared" si="19"/>
        <v>3744000</v>
      </c>
      <c r="K230" s="39">
        <f t="shared" si="16"/>
        <v>3744000</v>
      </c>
      <c r="L230" s="261">
        <f t="shared" si="18"/>
        <v>0</v>
      </c>
      <c r="M230" s="14"/>
    </row>
    <row r="231" spans="1:13" ht="40.5" customHeight="1" x14ac:dyDescent="0.3">
      <c r="A231" s="69"/>
      <c r="B231" s="8"/>
      <c r="C231" s="82" t="s">
        <v>323</v>
      </c>
      <c r="D231" s="272" t="s">
        <v>33</v>
      </c>
      <c r="E231" s="71" t="s">
        <v>23</v>
      </c>
      <c r="F231" s="98">
        <f>5.5*2.5</f>
        <v>13.75</v>
      </c>
      <c r="G231" s="29">
        <v>453000</v>
      </c>
      <c r="H231" s="45">
        <v>0.8</v>
      </c>
      <c r="I231" s="31">
        <v>1.1479999999999999</v>
      </c>
      <c r="J231" s="223">
        <f t="shared" si="19"/>
        <v>5720000</v>
      </c>
      <c r="K231" s="39">
        <f t="shared" si="16"/>
        <v>5720000</v>
      </c>
      <c r="L231" s="261">
        <f t="shared" si="18"/>
        <v>0</v>
      </c>
      <c r="M231" s="14"/>
    </row>
    <row r="232" spans="1:13" ht="61.5" customHeight="1" x14ac:dyDescent="0.3">
      <c r="A232" s="149">
        <v>11</v>
      </c>
      <c r="B232" s="150" t="s">
        <v>324</v>
      </c>
      <c r="C232" s="455" t="s">
        <v>1077</v>
      </c>
      <c r="D232" s="456"/>
      <c r="E232" s="456"/>
      <c r="F232" s="456"/>
      <c r="G232" s="456"/>
      <c r="H232" s="456"/>
      <c r="I232" s="457"/>
      <c r="J232" s="221">
        <f>SUM(J233:J247)</f>
        <v>39695000</v>
      </c>
      <c r="K232" s="39">
        <f t="shared" si="16"/>
        <v>0</v>
      </c>
      <c r="L232" s="261">
        <f t="shared" si="18"/>
        <v>39695000</v>
      </c>
      <c r="M232" s="24"/>
    </row>
    <row r="233" spans="1:13" ht="90" customHeight="1" x14ac:dyDescent="0.3">
      <c r="A233" s="67"/>
      <c r="B233" s="68"/>
      <c r="C233" s="25" t="s">
        <v>1062</v>
      </c>
      <c r="D233" s="267" t="s">
        <v>112</v>
      </c>
      <c r="E233" s="27" t="s">
        <v>23</v>
      </c>
      <c r="F233" s="35">
        <v>38.6</v>
      </c>
      <c r="G233" s="464" t="s">
        <v>1064</v>
      </c>
      <c r="H233" s="464"/>
      <c r="I233" s="465"/>
      <c r="J233" s="227"/>
      <c r="K233" s="39"/>
      <c r="L233" s="261">
        <f t="shared" si="18"/>
        <v>0</v>
      </c>
      <c r="M233" s="14"/>
    </row>
    <row r="234" spans="1:13" ht="38.25" x14ac:dyDescent="0.3">
      <c r="A234" s="67"/>
      <c r="B234" s="68"/>
      <c r="C234" s="20" t="s">
        <v>325</v>
      </c>
      <c r="D234" s="269" t="s">
        <v>88</v>
      </c>
      <c r="E234" s="8" t="s">
        <v>25</v>
      </c>
      <c r="F234" s="28">
        <f>0.5*0.5*2.3</f>
        <v>0.57499999999999996</v>
      </c>
      <c r="G234" s="11">
        <v>2828000</v>
      </c>
      <c r="H234" s="45">
        <v>0.8</v>
      </c>
      <c r="I234" s="31">
        <v>1.1479999999999999</v>
      </c>
      <c r="J234" s="223">
        <f t="shared" ref="J234:J247" si="20">ROUND(F234*G234*H234*I234,-3)</f>
        <v>1493000</v>
      </c>
      <c r="K234" s="39">
        <f t="shared" si="16"/>
        <v>1493000</v>
      </c>
      <c r="L234" s="261">
        <f t="shared" si="18"/>
        <v>0</v>
      </c>
      <c r="M234" s="14"/>
    </row>
    <row r="235" spans="1:13" ht="38.25" x14ac:dyDescent="0.3">
      <c r="A235" s="69"/>
      <c r="B235" s="8"/>
      <c r="C235" s="82" t="s">
        <v>326</v>
      </c>
      <c r="D235" s="267" t="s">
        <v>207</v>
      </c>
      <c r="E235" s="71" t="s">
        <v>23</v>
      </c>
      <c r="F235" s="72">
        <f>2.2*2.3</f>
        <v>5.0599999999999996</v>
      </c>
      <c r="G235" s="29">
        <v>566000</v>
      </c>
      <c r="H235" s="45">
        <v>0.8</v>
      </c>
      <c r="I235" s="31">
        <v>1.1479999999999999</v>
      </c>
      <c r="J235" s="223">
        <f t="shared" si="20"/>
        <v>2630000</v>
      </c>
      <c r="K235" s="39">
        <f t="shared" si="16"/>
        <v>2630000</v>
      </c>
      <c r="L235" s="261">
        <f t="shared" si="18"/>
        <v>0</v>
      </c>
      <c r="M235" s="14"/>
    </row>
    <row r="236" spans="1:13" ht="37.5" x14ac:dyDescent="0.3">
      <c r="A236" s="69"/>
      <c r="B236" s="8"/>
      <c r="C236" s="82" t="s">
        <v>327</v>
      </c>
      <c r="D236" s="270" t="s">
        <v>29</v>
      </c>
      <c r="E236" s="27" t="s">
        <v>23</v>
      </c>
      <c r="F236" s="72">
        <f>0.8*2.2+1.9*0.3+4.6*1.2+4.6*0.4</f>
        <v>9.69</v>
      </c>
      <c r="G236" s="29">
        <v>792000</v>
      </c>
      <c r="H236" s="45">
        <v>0.8</v>
      </c>
      <c r="I236" s="31">
        <v>1.1479999999999999</v>
      </c>
      <c r="J236" s="223">
        <f t="shared" si="20"/>
        <v>7048000</v>
      </c>
      <c r="K236" s="39">
        <f t="shared" si="16"/>
        <v>7048000</v>
      </c>
      <c r="L236" s="261">
        <f t="shared" si="18"/>
        <v>0</v>
      </c>
      <c r="M236" s="14"/>
    </row>
    <row r="237" spans="1:13" ht="38.25" x14ac:dyDescent="0.3">
      <c r="A237" s="69"/>
      <c r="B237" s="8"/>
      <c r="C237" s="82" t="s">
        <v>328</v>
      </c>
      <c r="D237" s="267" t="s">
        <v>89</v>
      </c>
      <c r="E237" s="71" t="s">
        <v>23</v>
      </c>
      <c r="F237" s="72">
        <f>7.4*1</f>
        <v>7.4</v>
      </c>
      <c r="G237" s="29">
        <v>11000</v>
      </c>
      <c r="H237" s="45">
        <v>0.8</v>
      </c>
      <c r="I237" s="31">
        <v>1.1479999999999999</v>
      </c>
      <c r="J237" s="223">
        <f t="shared" si="20"/>
        <v>75000</v>
      </c>
      <c r="K237" s="39">
        <f t="shared" si="16"/>
        <v>75000</v>
      </c>
      <c r="L237" s="261">
        <f t="shared" si="18"/>
        <v>0</v>
      </c>
      <c r="M237" s="14"/>
    </row>
    <row r="238" spans="1:13" ht="38.25" x14ac:dyDescent="0.3">
      <c r="A238" s="69"/>
      <c r="B238" s="8"/>
      <c r="C238" s="82" t="s">
        <v>329</v>
      </c>
      <c r="D238" s="267" t="s">
        <v>24</v>
      </c>
      <c r="E238" s="27" t="s">
        <v>25</v>
      </c>
      <c r="F238" s="72">
        <f>(0.2*0.2*1.7)*3</f>
        <v>0.20400000000000001</v>
      </c>
      <c r="G238" s="29">
        <v>2828000</v>
      </c>
      <c r="H238" s="45">
        <v>0.8</v>
      </c>
      <c r="I238" s="31">
        <v>1.1479999999999999</v>
      </c>
      <c r="J238" s="223">
        <f t="shared" si="20"/>
        <v>530000</v>
      </c>
      <c r="K238" s="39">
        <f t="shared" si="16"/>
        <v>530000</v>
      </c>
      <c r="L238" s="261">
        <f t="shared" si="18"/>
        <v>0</v>
      </c>
      <c r="M238" s="158"/>
    </row>
    <row r="239" spans="1:13" ht="38.25" x14ac:dyDescent="0.3">
      <c r="A239" s="69"/>
      <c r="B239" s="8"/>
      <c r="C239" s="82" t="s">
        <v>330</v>
      </c>
      <c r="D239" s="271" t="s">
        <v>32</v>
      </c>
      <c r="E239" s="27" t="s">
        <v>23</v>
      </c>
      <c r="F239" s="72">
        <f>5.3*6.6</f>
        <v>34.979999999999997</v>
      </c>
      <c r="G239" s="29">
        <v>215000</v>
      </c>
      <c r="H239" s="45">
        <v>0.8</v>
      </c>
      <c r="I239" s="31">
        <v>1.1479999999999999</v>
      </c>
      <c r="J239" s="223">
        <f t="shared" si="20"/>
        <v>6907000</v>
      </c>
      <c r="K239" s="39">
        <f t="shared" si="16"/>
        <v>6907000</v>
      </c>
      <c r="L239" s="261">
        <f t="shared" si="18"/>
        <v>0</v>
      </c>
      <c r="M239" s="14"/>
    </row>
    <row r="240" spans="1:13" ht="38.25" x14ac:dyDescent="0.3">
      <c r="A240" s="69"/>
      <c r="B240" s="8"/>
      <c r="C240" s="82" t="s">
        <v>331</v>
      </c>
      <c r="D240" s="271" t="s">
        <v>32</v>
      </c>
      <c r="E240" s="27" t="s">
        <v>23</v>
      </c>
      <c r="F240" s="72">
        <f>7*6.8</f>
        <v>47.6</v>
      </c>
      <c r="G240" s="29">
        <v>215000</v>
      </c>
      <c r="H240" s="45">
        <v>0.8</v>
      </c>
      <c r="I240" s="31">
        <v>1.1479999999999999</v>
      </c>
      <c r="J240" s="223">
        <f t="shared" si="20"/>
        <v>9399000</v>
      </c>
      <c r="K240" s="39">
        <f t="shared" si="16"/>
        <v>9399000</v>
      </c>
      <c r="L240" s="261">
        <f t="shared" si="18"/>
        <v>0</v>
      </c>
      <c r="M240" s="14"/>
    </row>
    <row r="241" spans="1:13" ht="37.5" x14ac:dyDescent="0.3">
      <c r="A241" s="69"/>
      <c r="B241" s="8"/>
      <c r="C241" s="82" t="s">
        <v>858</v>
      </c>
      <c r="D241" s="270" t="s">
        <v>51</v>
      </c>
      <c r="E241" s="27" t="s">
        <v>23</v>
      </c>
      <c r="F241" s="72">
        <f>3.7*6.6</f>
        <v>24.419999999999998</v>
      </c>
      <c r="G241" s="29">
        <v>453000</v>
      </c>
      <c r="H241" s="45">
        <v>0.8</v>
      </c>
      <c r="I241" s="31">
        <v>1.1479999999999999</v>
      </c>
      <c r="J241" s="223">
        <f t="shared" si="20"/>
        <v>10160000</v>
      </c>
      <c r="K241" s="39">
        <f t="shared" si="16"/>
        <v>10160000</v>
      </c>
      <c r="L241" s="261">
        <f t="shared" si="18"/>
        <v>0</v>
      </c>
      <c r="M241" s="14"/>
    </row>
    <row r="242" spans="1:13" ht="43.5" customHeight="1" x14ac:dyDescent="0.3">
      <c r="A242" s="69"/>
      <c r="B242" s="8"/>
      <c r="C242" s="82" t="s">
        <v>332</v>
      </c>
      <c r="D242" s="270" t="s">
        <v>52</v>
      </c>
      <c r="E242" s="96" t="s">
        <v>91</v>
      </c>
      <c r="F242" s="72">
        <f>0.4*6.6</f>
        <v>2.64</v>
      </c>
      <c r="G242" s="11" t="s">
        <v>53</v>
      </c>
      <c r="H242" s="45">
        <v>0.8</v>
      </c>
      <c r="I242" s="31">
        <v>1.1479999999999999</v>
      </c>
      <c r="J242" s="223">
        <f t="shared" si="20"/>
        <v>572000</v>
      </c>
      <c r="K242" s="39">
        <f t="shared" si="16"/>
        <v>572000</v>
      </c>
      <c r="L242" s="261">
        <f t="shared" si="18"/>
        <v>0</v>
      </c>
      <c r="M242" s="14"/>
    </row>
    <row r="243" spans="1:13" ht="43.5" customHeight="1" x14ac:dyDescent="0.3">
      <c r="A243" s="69"/>
      <c r="B243" s="8"/>
      <c r="C243" s="82" t="s">
        <v>333</v>
      </c>
      <c r="D243" s="276" t="s">
        <v>41</v>
      </c>
      <c r="E243" s="59" t="s">
        <v>42</v>
      </c>
      <c r="F243" s="98">
        <v>6</v>
      </c>
      <c r="G243" s="11">
        <v>31950</v>
      </c>
      <c r="H243" s="60">
        <v>1</v>
      </c>
      <c r="I243" s="61">
        <v>1</v>
      </c>
      <c r="J243" s="223">
        <f t="shared" si="20"/>
        <v>192000</v>
      </c>
      <c r="K243" s="39">
        <f t="shared" si="16"/>
        <v>192000</v>
      </c>
      <c r="L243" s="261">
        <f t="shared" si="18"/>
        <v>0</v>
      </c>
      <c r="M243" s="14"/>
    </row>
    <row r="244" spans="1:13" ht="43.5" customHeight="1" x14ac:dyDescent="0.3">
      <c r="A244" s="69"/>
      <c r="B244" s="8"/>
      <c r="C244" s="82" t="s">
        <v>334</v>
      </c>
      <c r="D244" s="276" t="s">
        <v>41</v>
      </c>
      <c r="E244" s="59" t="s">
        <v>42</v>
      </c>
      <c r="F244" s="98">
        <v>35</v>
      </c>
      <c r="G244" s="11">
        <v>10650</v>
      </c>
      <c r="H244" s="60">
        <v>1</v>
      </c>
      <c r="I244" s="61">
        <v>1</v>
      </c>
      <c r="J244" s="223">
        <f t="shared" si="20"/>
        <v>373000</v>
      </c>
      <c r="K244" s="39">
        <f t="shared" si="16"/>
        <v>373000</v>
      </c>
      <c r="L244" s="261">
        <f t="shared" si="18"/>
        <v>0</v>
      </c>
      <c r="M244" s="14"/>
    </row>
    <row r="245" spans="1:13" ht="25.5" x14ac:dyDescent="0.3">
      <c r="A245" s="69"/>
      <c r="B245" s="8"/>
      <c r="C245" s="82" t="s">
        <v>335</v>
      </c>
      <c r="D245" s="271" t="s">
        <v>870</v>
      </c>
      <c r="E245" s="27" t="s">
        <v>23</v>
      </c>
      <c r="F245" s="98">
        <f>1*2</f>
        <v>2</v>
      </c>
      <c r="G245" s="29">
        <v>4220</v>
      </c>
      <c r="H245" s="50">
        <v>1</v>
      </c>
      <c r="I245" s="51">
        <v>1</v>
      </c>
      <c r="J245" s="229">
        <f t="shared" si="20"/>
        <v>8000</v>
      </c>
      <c r="K245" s="39">
        <f t="shared" si="16"/>
        <v>8000</v>
      </c>
      <c r="L245" s="261">
        <f t="shared" si="18"/>
        <v>0</v>
      </c>
      <c r="M245" s="14"/>
    </row>
    <row r="246" spans="1:13" ht="38.25" x14ac:dyDescent="0.3">
      <c r="A246" s="69"/>
      <c r="B246" s="8"/>
      <c r="C246" s="82" t="s">
        <v>46</v>
      </c>
      <c r="D246" s="271" t="s">
        <v>47</v>
      </c>
      <c r="E246" s="63" t="s">
        <v>45</v>
      </c>
      <c r="F246" s="77">
        <v>6</v>
      </c>
      <c r="G246" s="46">
        <v>28000</v>
      </c>
      <c r="H246" s="45">
        <v>0.8</v>
      </c>
      <c r="I246" s="31">
        <v>1.1479999999999999</v>
      </c>
      <c r="J246" s="223">
        <f t="shared" si="20"/>
        <v>154000</v>
      </c>
      <c r="K246" s="39">
        <f t="shared" si="16"/>
        <v>154000</v>
      </c>
      <c r="L246" s="261">
        <f t="shared" si="18"/>
        <v>0</v>
      </c>
      <c r="M246" s="14"/>
    </row>
    <row r="247" spans="1:13" ht="38.25" x14ac:dyDescent="0.3">
      <c r="A247" s="69"/>
      <c r="B247" s="8"/>
      <c r="C247" s="82" t="s">
        <v>336</v>
      </c>
      <c r="D247" s="273" t="s">
        <v>44</v>
      </c>
      <c r="E247" s="63" t="s">
        <v>45</v>
      </c>
      <c r="F247" s="77">
        <v>6</v>
      </c>
      <c r="G247" s="46">
        <v>28000</v>
      </c>
      <c r="H247" s="45">
        <v>0.8</v>
      </c>
      <c r="I247" s="31">
        <v>1.1479999999999999</v>
      </c>
      <c r="J247" s="223">
        <f t="shared" si="20"/>
        <v>154000</v>
      </c>
      <c r="K247" s="39">
        <f t="shared" si="16"/>
        <v>154000</v>
      </c>
      <c r="L247" s="261">
        <f t="shared" si="18"/>
        <v>0</v>
      </c>
      <c r="M247" s="14"/>
    </row>
    <row r="248" spans="1:13" ht="61.5" customHeight="1" x14ac:dyDescent="0.3">
      <c r="A248" s="149">
        <v>12</v>
      </c>
      <c r="B248" s="150" t="s">
        <v>337</v>
      </c>
      <c r="C248" s="455" t="s">
        <v>1076</v>
      </c>
      <c r="D248" s="456"/>
      <c r="E248" s="456"/>
      <c r="F248" s="456"/>
      <c r="G248" s="456"/>
      <c r="H248" s="456"/>
      <c r="I248" s="457"/>
      <c r="J248" s="221">
        <f>SUM(J249:J256)</f>
        <v>45025000</v>
      </c>
      <c r="K248" s="39">
        <f t="shared" si="16"/>
        <v>0</v>
      </c>
      <c r="L248" s="261">
        <f t="shared" si="18"/>
        <v>45025000</v>
      </c>
      <c r="M248" s="24"/>
    </row>
    <row r="249" spans="1:13" ht="90" customHeight="1" x14ac:dyDescent="0.3">
      <c r="A249" s="67"/>
      <c r="B249" s="68"/>
      <c r="C249" s="25" t="s">
        <v>1062</v>
      </c>
      <c r="D249" s="267" t="s">
        <v>112</v>
      </c>
      <c r="E249" s="27" t="s">
        <v>23</v>
      </c>
      <c r="F249" s="35">
        <v>22.9</v>
      </c>
      <c r="G249" s="464" t="s">
        <v>1064</v>
      </c>
      <c r="H249" s="464"/>
      <c r="I249" s="465"/>
      <c r="J249" s="227"/>
      <c r="K249" s="39"/>
      <c r="L249" s="261">
        <f t="shared" si="18"/>
        <v>0</v>
      </c>
      <c r="M249" s="14"/>
    </row>
    <row r="250" spans="1:13" ht="37.5" x14ac:dyDescent="0.3">
      <c r="A250" s="69"/>
      <c r="B250" s="8"/>
      <c r="C250" s="82" t="s">
        <v>859</v>
      </c>
      <c r="D250" s="270" t="s">
        <v>51</v>
      </c>
      <c r="E250" s="27" t="s">
        <v>23</v>
      </c>
      <c r="F250" s="72">
        <f>8.1*4</f>
        <v>32.4</v>
      </c>
      <c r="G250" s="29">
        <v>453000</v>
      </c>
      <c r="H250" s="45">
        <v>0.8</v>
      </c>
      <c r="I250" s="31">
        <v>1.1479999999999999</v>
      </c>
      <c r="J250" s="223">
        <f t="shared" ref="J250:J256" si="21">ROUND(F250*G250*H250*I250,-3)</f>
        <v>13480000</v>
      </c>
      <c r="K250" s="39">
        <f t="shared" si="16"/>
        <v>13480000</v>
      </c>
      <c r="L250" s="261">
        <f t="shared" si="18"/>
        <v>0</v>
      </c>
      <c r="M250" s="14"/>
    </row>
    <row r="251" spans="1:13" ht="38.25" x14ac:dyDescent="0.3">
      <c r="A251" s="69"/>
      <c r="B251" s="8"/>
      <c r="C251" s="82" t="s">
        <v>338</v>
      </c>
      <c r="D251" s="271" t="s">
        <v>32</v>
      </c>
      <c r="E251" s="27" t="s">
        <v>23</v>
      </c>
      <c r="F251" s="72">
        <f>5.4*4</f>
        <v>21.6</v>
      </c>
      <c r="G251" s="29">
        <v>215000</v>
      </c>
      <c r="H251" s="45">
        <v>0.8</v>
      </c>
      <c r="I251" s="31">
        <v>1.1479999999999999</v>
      </c>
      <c r="J251" s="223">
        <f t="shared" si="21"/>
        <v>4265000</v>
      </c>
      <c r="K251" s="39">
        <f t="shared" si="16"/>
        <v>4265000</v>
      </c>
      <c r="L251" s="261">
        <f t="shared" si="18"/>
        <v>0</v>
      </c>
      <c r="M251" s="14"/>
    </row>
    <row r="252" spans="1:13" ht="40.5" customHeight="1" x14ac:dyDescent="0.3">
      <c r="A252" s="69"/>
      <c r="B252" s="8"/>
      <c r="C252" s="82" t="s">
        <v>339</v>
      </c>
      <c r="D252" s="270" t="s">
        <v>52</v>
      </c>
      <c r="E252" s="27" t="s">
        <v>23</v>
      </c>
      <c r="F252" s="72">
        <f>8.1*5.3+8.1*1.5+1.4*4</f>
        <v>60.68</v>
      </c>
      <c r="G252" s="11" t="s">
        <v>53</v>
      </c>
      <c r="H252" s="45">
        <v>0.8</v>
      </c>
      <c r="I252" s="79">
        <v>1.1479999999999999</v>
      </c>
      <c r="J252" s="223">
        <f t="shared" si="21"/>
        <v>13152000</v>
      </c>
      <c r="K252" s="39">
        <f t="shared" si="16"/>
        <v>13152000</v>
      </c>
      <c r="L252" s="261">
        <f t="shared" si="18"/>
        <v>0</v>
      </c>
      <c r="M252" s="14"/>
    </row>
    <row r="253" spans="1:13" ht="38.25" x14ac:dyDescent="0.3">
      <c r="A253" s="69"/>
      <c r="B253" s="8"/>
      <c r="C253" s="82" t="s">
        <v>340</v>
      </c>
      <c r="D253" s="271" t="s">
        <v>32</v>
      </c>
      <c r="E253" s="27" t="s">
        <v>23</v>
      </c>
      <c r="F253" s="72">
        <f>4*7</f>
        <v>28</v>
      </c>
      <c r="G253" s="29">
        <v>215000</v>
      </c>
      <c r="H253" s="45">
        <v>0.8</v>
      </c>
      <c r="I253" s="31">
        <v>1.1479999999999999</v>
      </c>
      <c r="J253" s="223">
        <f t="shared" si="21"/>
        <v>5529000</v>
      </c>
      <c r="K253" s="39">
        <f t="shared" si="16"/>
        <v>5529000</v>
      </c>
      <c r="L253" s="261">
        <f t="shared" si="18"/>
        <v>0</v>
      </c>
      <c r="M253" s="14"/>
    </row>
    <row r="254" spans="1:13" ht="38.25" x14ac:dyDescent="0.3">
      <c r="A254" s="69"/>
      <c r="B254" s="8"/>
      <c r="C254" s="82" t="s">
        <v>341</v>
      </c>
      <c r="D254" s="267" t="s">
        <v>207</v>
      </c>
      <c r="E254" s="71" t="s">
        <v>23</v>
      </c>
      <c r="F254" s="72">
        <f>4*4</f>
        <v>16</v>
      </c>
      <c r="G254" s="29">
        <v>566000</v>
      </c>
      <c r="H254" s="45">
        <v>0.8</v>
      </c>
      <c r="I254" s="31">
        <v>1.1479999999999999</v>
      </c>
      <c r="J254" s="223">
        <f t="shared" si="21"/>
        <v>8317000</v>
      </c>
      <c r="K254" s="39">
        <f t="shared" si="16"/>
        <v>8317000</v>
      </c>
      <c r="L254" s="261">
        <f t="shared" si="18"/>
        <v>0</v>
      </c>
      <c r="M254" s="14"/>
    </row>
    <row r="255" spans="1:13" ht="38.25" x14ac:dyDescent="0.3">
      <c r="A255" s="69"/>
      <c r="B255" s="8"/>
      <c r="C255" s="82" t="s">
        <v>342</v>
      </c>
      <c r="D255" s="273" t="s">
        <v>44</v>
      </c>
      <c r="E255" s="63" t="s">
        <v>45</v>
      </c>
      <c r="F255" s="77">
        <v>5.5</v>
      </c>
      <c r="G255" s="46">
        <v>28000</v>
      </c>
      <c r="H255" s="45">
        <v>0.8</v>
      </c>
      <c r="I255" s="31">
        <v>1.1479999999999999</v>
      </c>
      <c r="J255" s="223">
        <f t="shared" si="21"/>
        <v>141000</v>
      </c>
      <c r="K255" s="39">
        <f t="shared" si="16"/>
        <v>141000</v>
      </c>
      <c r="L255" s="261">
        <f t="shared" si="18"/>
        <v>0</v>
      </c>
      <c r="M255" s="14"/>
    </row>
    <row r="256" spans="1:13" ht="38.25" x14ac:dyDescent="0.3">
      <c r="A256" s="69"/>
      <c r="B256" s="8"/>
      <c r="C256" s="82" t="s">
        <v>188</v>
      </c>
      <c r="D256" s="271" t="s">
        <v>47</v>
      </c>
      <c r="E256" s="63" t="s">
        <v>45</v>
      </c>
      <c r="F256" s="77">
        <v>5.5</v>
      </c>
      <c r="G256" s="46">
        <v>28000</v>
      </c>
      <c r="H256" s="45">
        <v>0.8</v>
      </c>
      <c r="I256" s="31">
        <v>1.1479999999999999</v>
      </c>
      <c r="J256" s="223">
        <f t="shared" si="21"/>
        <v>141000</v>
      </c>
      <c r="K256" s="39">
        <f t="shared" si="16"/>
        <v>141000</v>
      </c>
      <c r="L256" s="261">
        <f t="shared" si="18"/>
        <v>0</v>
      </c>
      <c r="M256" s="14"/>
    </row>
    <row r="257" spans="1:13" ht="61.5" customHeight="1" x14ac:dyDescent="0.3">
      <c r="A257" s="149">
        <v>13</v>
      </c>
      <c r="B257" s="150" t="s">
        <v>343</v>
      </c>
      <c r="C257" s="455" t="s">
        <v>1078</v>
      </c>
      <c r="D257" s="456"/>
      <c r="E257" s="456"/>
      <c r="F257" s="456"/>
      <c r="G257" s="456"/>
      <c r="H257" s="456"/>
      <c r="I257" s="457"/>
      <c r="J257" s="221">
        <f>SUM(J258:J272)</f>
        <v>56896000</v>
      </c>
      <c r="K257" s="39">
        <f t="shared" si="16"/>
        <v>0</v>
      </c>
      <c r="L257" s="261">
        <f t="shared" si="18"/>
        <v>56896000</v>
      </c>
      <c r="M257" s="24"/>
    </row>
    <row r="258" spans="1:13" ht="90" customHeight="1" x14ac:dyDescent="0.3">
      <c r="A258" s="67"/>
      <c r="B258" s="68"/>
      <c r="C258" s="25" t="s">
        <v>1062</v>
      </c>
      <c r="D258" s="267" t="s">
        <v>112</v>
      </c>
      <c r="E258" s="27" t="s">
        <v>23</v>
      </c>
      <c r="F258" s="35">
        <v>22.4</v>
      </c>
      <c r="G258" s="464" t="s">
        <v>1064</v>
      </c>
      <c r="H258" s="464"/>
      <c r="I258" s="465"/>
      <c r="J258" s="227"/>
      <c r="K258" s="39"/>
      <c r="L258" s="261">
        <f t="shared" si="18"/>
        <v>0</v>
      </c>
      <c r="M258" s="14"/>
    </row>
    <row r="259" spans="1:13" ht="38.25" x14ac:dyDescent="0.3">
      <c r="A259" s="69"/>
      <c r="B259" s="8"/>
      <c r="C259" s="82" t="s">
        <v>344</v>
      </c>
      <c r="D259" s="267" t="s">
        <v>24</v>
      </c>
      <c r="E259" s="27" t="s">
        <v>25</v>
      </c>
      <c r="F259" s="72">
        <f>(0.5*0.5*2.7)*2</f>
        <v>1.35</v>
      </c>
      <c r="G259" s="29">
        <v>2828000</v>
      </c>
      <c r="H259" s="45">
        <v>0.8</v>
      </c>
      <c r="I259" s="31">
        <v>1.1479999999999999</v>
      </c>
      <c r="J259" s="223">
        <f t="shared" ref="J259:J272" si="22">ROUND(F259*G259*H259*I259,-3)</f>
        <v>3506000</v>
      </c>
      <c r="K259" s="39">
        <f t="shared" si="16"/>
        <v>3506000</v>
      </c>
      <c r="L259" s="261">
        <f t="shared" si="18"/>
        <v>0</v>
      </c>
      <c r="M259" s="14"/>
    </row>
    <row r="260" spans="1:13" ht="37.5" x14ac:dyDescent="0.3">
      <c r="A260" s="69"/>
      <c r="B260" s="8"/>
      <c r="C260" s="82" t="s">
        <v>345</v>
      </c>
      <c r="D260" s="270" t="s">
        <v>66</v>
      </c>
      <c r="E260" s="27" t="s">
        <v>23</v>
      </c>
      <c r="F260" s="72">
        <f>(0.5*2.1)*8+(0.85*0.6)*2</f>
        <v>9.42</v>
      </c>
      <c r="G260" s="29">
        <v>339000</v>
      </c>
      <c r="H260" s="45">
        <v>0.8</v>
      </c>
      <c r="I260" s="31">
        <v>1.1479999999999999</v>
      </c>
      <c r="J260" s="223">
        <f t="shared" si="22"/>
        <v>2933000</v>
      </c>
      <c r="K260" s="39">
        <f t="shared" si="16"/>
        <v>2933000</v>
      </c>
      <c r="L260" s="261">
        <f t="shared" si="18"/>
        <v>0</v>
      </c>
      <c r="M260" s="14"/>
    </row>
    <row r="261" spans="1:13" ht="38.25" x14ac:dyDescent="0.3">
      <c r="A261" s="69"/>
      <c r="B261" s="8"/>
      <c r="C261" s="82" t="s">
        <v>162</v>
      </c>
      <c r="D261" s="267" t="s">
        <v>26</v>
      </c>
      <c r="E261" s="71" t="s">
        <v>23</v>
      </c>
      <c r="F261" s="72">
        <f>2.3*2.6</f>
        <v>5.9799999999999995</v>
      </c>
      <c r="G261" s="29">
        <v>679000</v>
      </c>
      <c r="H261" s="45">
        <v>0.8</v>
      </c>
      <c r="I261" s="31">
        <v>1.1479999999999999</v>
      </c>
      <c r="J261" s="223">
        <f t="shared" si="22"/>
        <v>3729000</v>
      </c>
      <c r="K261" s="39">
        <f t="shared" si="16"/>
        <v>3729000</v>
      </c>
      <c r="L261" s="261">
        <f t="shared" si="18"/>
        <v>0</v>
      </c>
      <c r="M261" s="158"/>
    </row>
    <row r="262" spans="1:13" ht="38.25" x14ac:dyDescent="0.3">
      <c r="A262" s="69"/>
      <c r="B262" s="8"/>
      <c r="C262" s="82" t="s">
        <v>346</v>
      </c>
      <c r="D262" s="267" t="s">
        <v>24</v>
      </c>
      <c r="E262" s="27" t="s">
        <v>25</v>
      </c>
      <c r="F262" s="72">
        <f>(0.25*0.25*2.2)*4</f>
        <v>0.55000000000000004</v>
      </c>
      <c r="G262" s="29">
        <v>2828000</v>
      </c>
      <c r="H262" s="45">
        <v>0.8</v>
      </c>
      <c r="I262" s="31">
        <v>1.1479999999999999</v>
      </c>
      <c r="J262" s="223">
        <f t="shared" si="22"/>
        <v>1428000</v>
      </c>
      <c r="K262" s="39">
        <f t="shared" si="16"/>
        <v>1428000</v>
      </c>
      <c r="L262" s="261">
        <f t="shared" si="18"/>
        <v>0</v>
      </c>
      <c r="M262" s="14"/>
    </row>
    <row r="263" spans="1:13" ht="38.25" x14ac:dyDescent="0.3">
      <c r="A263" s="69"/>
      <c r="B263" s="8"/>
      <c r="C263" s="82" t="s">
        <v>347</v>
      </c>
      <c r="D263" s="271" t="s">
        <v>32</v>
      </c>
      <c r="E263" s="27" t="s">
        <v>23</v>
      </c>
      <c r="F263" s="72">
        <f>7.1*4</f>
        <v>28.4</v>
      </c>
      <c r="G263" s="29">
        <v>215000</v>
      </c>
      <c r="H263" s="45">
        <v>0.8</v>
      </c>
      <c r="I263" s="31">
        <v>1.1479999999999999</v>
      </c>
      <c r="J263" s="223">
        <f t="shared" si="22"/>
        <v>5608000</v>
      </c>
      <c r="K263" s="39">
        <f t="shared" ref="K263:K326" si="23">ROUND(F263*G263*H263*I263,-3)</f>
        <v>5608000</v>
      </c>
      <c r="L263" s="261">
        <f t="shared" si="18"/>
        <v>0</v>
      </c>
      <c r="M263" s="14"/>
    </row>
    <row r="264" spans="1:13" ht="37.5" x14ac:dyDescent="0.3">
      <c r="A264" s="69"/>
      <c r="B264" s="8"/>
      <c r="C264" s="82" t="s">
        <v>863</v>
      </c>
      <c r="D264" s="270" t="s">
        <v>31</v>
      </c>
      <c r="E264" s="27" t="s">
        <v>23</v>
      </c>
      <c r="F264" s="75">
        <f>5.7*3.6+1.2*0.4</f>
        <v>21</v>
      </c>
      <c r="G264" s="29">
        <v>339000</v>
      </c>
      <c r="H264" s="45">
        <v>0.8</v>
      </c>
      <c r="I264" s="31">
        <v>1.1479999999999999</v>
      </c>
      <c r="J264" s="223">
        <f t="shared" si="22"/>
        <v>6538000</v>
      </c>
      <c r="K264" s="39">
        <f t="shared" si="23"/>
        <v>6538000</v>
      </c>
      <c r="L264" s="261">
        <f t="shared" si="18"/>
        <v>0</v>
      </c>
      <c r="M264" s="14"/>
    </row>
    <row r="265" spans="1:13" ht="36" customHeight="1" x14ac:dyDescent="0.3">
      <c r="A265" s="69"/>
      <c r="B265" s="8"/>
      <c r="C265" s="82" t="s">
        <v>348</v>
      </c>
      <c r="D265" s="270" t="s">
        <v>30</v>
      </c>
      <c r="E265" s="96" t="s">
        <v>91</v>
      </c>
      <c r="F265" s="72">
        <f>(5*2)*2</f>
        <v>20</v>
      </c>
      <c r="G265" s="11">
        <v>679000</v>
      </c>
      <c r="H265" s="45">
        <v>0.8</v>
      </c>
      <c r="I265" s="79">
        <v>1.1479999999999999</v>
      </c>
      <c r="J265" s="223">
        <f t="shared" si="22"/>
        <v>12472000</v>
      </c>
      <c r="K265" s="39">
        <f t="shared" si="23"/>
        <v>12472000</v>
      </c>
      <c r="L265" s="261">
        <f t="shared" si="18"/>
        <v>0</v>
      </c>
      <c r="M265" s="14"/>
    </row>
    <row r="266" spans="1:13" ht="37.5" x14ac:dyDescent="0.3">
      <c r="A266" s="69"/>
      <c r="B266" s="8"/>
      <c r="C266" s="82" t="s">
        <v>860</v>
      </c>
      <c r="D266" s="270" t="s">
        <v>51</v>
      </c>
      <c r="E266" s="27" t="s">
        <v>23</v>
      </c>
      <c r="F266" s="72">
        <f>1.8*3.2</f>
        <v>5.7600000000000007</v>
      </c>
      <c r="G266" s="29">
        <v>453000</v>
      </c>
      <c r="H266" s="45">
        <v>0.8</v>
      </c>
      <c r="I266" s="31">
        <v>1.1479999999999999</v>
      </c>
      <c r="J266" s="223">
        <f t="shared" si="22"/>
        <v>2396000</v>
      </c>
      <c r="K266" s="39">
        <f t="shared" si="23"/>
        <v>2396000</v>
      </c>
      <c r="L266" s="261">
        <f t="shared" si="18"/>
        <v>0</v>
      </c>
      <c r="M266" s="14"/>
    </row>
    <row r="267" spans="1:13" ht="25.5" x14ac:dyDescent="0.3">
      <c r="A267" s="69"/>
      <c r="B267" s="8"/>
      <c r="C267" s="82" t="s">
        <v>349</v>
      </c>
      <c r="D267" s="279" t="s">
        <v>825</v>
      </c>
      <c r="E267" s="71" t="s">
        <v>35</v>
      </c>
      <c r="F267" s="98">
        <v>3</v>
      </c>
      <c r="G267" s="11">
        <v>2130200</v>
      </c>
      <c r="H267" s="37">
        <v>1</v>
      </c>
      <c r="I267" s="201">
        <v>1</v>
      </c>
      <c r="J267" s="223">
        <f t="shared" si="22"/>
        <v>6391000</v>
      </c>
      <c r="K267" s="39">
        <f t="shared" si="23"/>
        <v>6391000</v>
      </c>
      <c r="L267" s="261">
        <f t="shared" si="18"/>
        <v>0</v>
      </c>
      <c r="M267" s="14"/>
    </row>
    <row r="268" spans="1:13" ht="25.5" x14ac:dyDescent="0.3">
      <c r="A268" s="69"/>
      <c r="B268" s="8"/>
      <c r="C268" s="82" t="s">
        <v>49</v>
      </c>
      <c r="D268" s="267" t="s">
        <v>36</v>
      </c>
      <c r="E268" s="27" t="s">
        <v>35</v>
      </c>
      <c r="F268" s="98">
        <v>2</v>
      </c>
      <c r="G268" s="49">
        <v>213020</v>
      </c>
      <c r="H268" s="52">
        <v>1</v>
      </c>
      <c r="I268" s="53">
        <v>1</v>
      </c>
      <c r="J268" s="223">
        <f t="shared" si="22"/>
        <v>426000</v>
      </c>
      <c r="K268" s="39">
        <f t="shared" si="23"/>
        <v>426000</v>
      </c>
      <c r="L268" s="261">
        <f t="shared" si="18"/>
        <v>0</v>
      </c>
      <c r="M268" s="14"/>
    </row>
    <row r="269" spans="1:13" ht="25.5" x14ac:dyDescent="0.3">
      <c r="A269" s="69"/>
      <c r="B269" s="8"/>
      <c r="C269" s="82" t="s">
        <v>350</v>
      </c>
      <c r="D269" s="276" t="s">
        <v>41</v>
      </c>
      <c r="E269" s="59" t="s">
        <v>42</v>
      </c>
      <c r="F269" s="98">
        <v>21</v>
      </c>
      <c r="G269" s="11">
        <v>10650</v>
      </c>
      <c r="H269" s="60">
        <v>1</v>
      </c>
      <c r="I269" s="61">
        <v>1</v>
      </c>
      <c r="J269" s="223">
        <f t="shared" si="22"/>
        <v>224000</v>
      </c>
      <c r="K269" s="39">
        <f t="shared" si="23"/>
        <v>224000</v>
      </c>
      <c r="L269" s="261">
        <f t="shared" si="18"/>
        <v>0</v>
      </c>
      <c r="M269" s="14"/>
    </row>
    <row r="270" spans="1:13" ht="38.25" x14ac:dyDescent="0.3">
      <c r="A270" s="69"/>
      <c r="B270" s="8"/>
      <c r="C270" s="82" t="s">
        <v>342</v>
      </c>
      <c r="D270" s="273" t="s">
        <v>44</v>
      </c>
      <c r="E270" s="63" t="s">
        <v>45</v>
      </c>
      <c r="F270" s="77">
        <v>5.5</v>
      </c>
      <c r="G270" s="46">
        <v>28000</v>
      </c>
      <c r="H270" s="45">
        <v>0.8</v>
      </c>
      <c r="I270" s="31">
        <v>1.1479999999999999</v>
      </c>
      <c r="J270" s="223">
        <f t="shared" si="22"/>
        <v>141000</v>
      </c>
      <c r="K270" s="39">
        <f t="shared" si="23"/>
        <v>141000</v>
      </c>
      <c r="L270" s="261">
        <f t="shared" si="18"/>
        <v>0</v>
      </c>
      <c r="M270" s="14"/>
    </row>
    <row r="271" spans="1:13" ht="38.25" x14ac:dyDescent="0.3">
      <c r="A271" s="69"/>
      <c r="B271" s="8"/>
      <c r="C271" s="82" t="s">
        <v>188</v>
      </c>
      <c r="D271" s="271" t="s">
        <v>47</v>
      </c>
      <c r="E271" s="63" t="s">
        <v>45</v>
      </c>
      <c r="F271" s="77">
        <v>5.5</v>
      </c>
      <c r="G271" s="46">
        <v>28000</v>
      </c>
      <c r="H271" s="45">
        <v>0.8</v>
      </c>
      <c r="I271" s="31">
        <v>1.1479999999999999</v>
      </c>
      <c r="J271" s="223">
        <f t="shared" si="22"/>
        <v>141000</v>
      </c>
      <c r="K271" s="39">
        <f t="shared" si="23"/>
        <v>141000</v>
      </c>
      <c r="L271" s="261">
        <f t="shared" si="18"/>
        <v>0</v>
      </c>
      <c r="M271" s="14"/>
    </row>
    <row r="272" spans="1:13" ht="38.25" x14ac:dyDescent="0.3">
      <c r="A272" s="69"/>
      <c r="B272" s="8"/>
      <c r="C272" s="82" t="s">
        <v>351</v>
      </c>
      <c r="D272" s="271" t="s">
        <v>34</v>
      </c>
      <c r="E272" s="71" t="s">
        <v>23</v>
      </c>
      <c r="F272" s="72">
        <f>5.7*3.7</f>
        <v>21.090000000000003</v>
      </c>
      <c r="G272" s="46">
        <v>566000</v>
      </c>
      <c r="H272" s="45">
        <v>0.8</v>
      </c>
      <c r="I272" s="31">
        <v>1.1479999999999999</v>
      </c>
      <c r="J272" s="223">
        <f t="shared" si="22"/>
        <v>10963000</v>
      </c>
      <c r="K272" s="39">
        <f t="shared" si="23"/>
        <v>10963000</v>
      </c>
      <c r="L272" s="261">
        <f t="shared" si="18"/>
        <v>0</v>
      </c>
      <c r="M272" s="14"/>
    </row>
    <row r="273" spans="1:13" ht="61.5" customHeight="1" x14ac:dyDescent="0.3">
      <c r="A273" s="149">
        <v>14</v>
      </c>
      <c r="B273" s="150" t="s">
        <v>352</v>
      </c>
      <c r="C273" s="455" t="s">
        <v>1079</v>
      </c>
      <c r="D273" s="456"/>
      <c r="E273" s="456"/>
      <c r="F273" s="456"/>
      <c r="G273" s="456"/>
      <c r="H273" s="456"/>
      <c r="I273" s="457"/>
      <c r="J273" s="221">
        <f>SUM(J274:J278)</f>
        <v>46846000</v>
      </c>
      <c r="K273" s="39">
        <f t="shared" si="23"/>
        <v>0</v>
      </c>
      <c r="L273" s="261">
        <f t="shared" ref="L273:L324" si="24">J273-K273</f>
        <v>46846000</v>
      </c>
      <c r="M273" s="24"/>
    </row>
    <row r="274" spans="1:13" ht="90" customHeight="1" x14ac:dyDescent="0.3">
      <c r="A274" s="67"/>
      <c r="B274" s="68"/>
      <c r="C274" s="25" t="s">
        <v>1062</v>
      </c>
      <c r="D274" s="267" t="s">
        <v>112</v>
      </c>
      <c r="E274" s="27" t="s">
        <v>23</v>
      </c>
      <c r="F274" s="35">
        <v>70.3</v>
      </c>
      <c r="G274" s="464" t="s">
        <v>1064</v>
      </c>
      <c r="H274" s="464"/>
      <c r="I274" s="465"/>
      <c r="J274" s="227"/>
      <c r="K274" s="39"/>
      <c r="L274" s="261">
        <f t="shared" si="24"/>
        <v>0</v>
      </c>
      <c r="M274" s="14"/>
    </row>
    <row r="275" spans="1:13" ht="36.75" customHeight="1" x14ac:dyDescent="0.3">
      <c r="A275" s="69"/>
      <c r="B275" s="8"/>
      <c r="C275" s="82" t="s">
        <v>353</v>
      </c>
      <c r="D275" s="272" t="s">
        <v>33</v>
      </c>
      <c r="E275" s="27" t="s">
        <v>23</v>
      </c>
      <c r="F275" s="89">
        <f>2.2*2+7.5*5</f>
        <v>41.9</v>
      </c>
      <c r="G275" s="29">
        <v>453000</v>
      </c>
      <c r="H275" s="45">
        <v>0.8</v>
      </c>
      <c r="I275" s="31">
        <v>1.1479999999999999</v>
      </c>
      <c r="J275" s="223">
        <f>ROUND(F275*G275*H275*I275,-3)</f>
        <v>17432000</v>
      </c>
      <c r="K275" s="39">
        <f t="shared" si="23"/>
        <v>17432000</v>
      </c>
      <c r="L275" s="261">
        <f t="shared" si="24"/>
        <v>0</v>
      </c>
      <c r="M275" s="14"/>
    </row>
    <row r="276" spans="1:13" ht="38.25" x14ac:dyDescent="0.3">
      <c r="A276" s="69"/>
      <c r="B276" s="8"/>
      <c r="C276" s="82" t="s">
        <v>354</v>
      </c>
      <c r="D276" s="271" t="s">
        <v>32</v>
      </c>
      <c r="E276" s="27" t="s">
        <v>23</v>
      </c>
      <c r="F276" s="72">
        <f>12*5.2</f>
        <v>62.400000000000006</v>
      </c>
      <c r="G276" s="29">
        <v>215000</v>
      </c>
      <c r="H276" s="45">
        <v>0.8</v>
      </c>
      <c r="I276" s="31">
        <v>1.1479999999999999</v>
      </c>
      <c r="J276" s="223">
        <f>ROUND(F276*G276*H276*I276,-3)</f>
        <v>12321000</v>
      </c>
      <c r="K276" s="39">
        <f t="shared" si="23"/>
        <v>12321000</v>
      </c>
      <c r="L276" s="261">
        <f t="shared" si="24"/>
        <v>0</v>
      </c>
      <c r="M276" s="14"/>
    </row>
    <row r="277" spans="1:13" ht="38.25" x14ac:dyDescent="0.3">
      <c r="A277" s="69"/>
      <c r="B277" s="8"/>
      <c r="C277" s="82" t="s">
        <v>355</v>
      </c>
      <c r="D277" s="271" t="s">
        <v>32</v>
      </c>
      <c r="E277" s="27" t="s">
        <v>23</v>
      </c>
      <c r="F277" s="72">
        <f>12*7.2</f>
        <v>86.4</v>
      </c>
      <c r="G277" s="29">
        <v>215000</v>
      </c>
      <c r="H277" s="45">
        <v>0.8</v>
      </c>
      <c r="I277" s="31">
        <v>1.1479999999999999</v>
      </c>
      <c r="J277" s="223">
        <f>ROUND(F277*G277*H277*I277,-3)</f>
        <v>17060000</v>
      </c>
      <c r="K277" s="39">
        <f t="shared" si="23"/>
        <v>17060000</v>
      </c>
      <c r="L277" s="261">
        <f t="shared" si="24"/>
        <v>0</v>
      </c>
      <c r="M277" s="14"/>
    </row>
    <row r="278" spans="1:13" ht="25.5" x14ac:dyDescent="0.3">
      <c r="A278" s="69"/>
      <c r="B278" s="8"/>
      <c r="C278" s="82" t="s">
        <v>356</v>
      </c>
      <c r="D278" s="280" t="s">
        <v>92</v>
      </c>
      <c r="E278" s="27" t="s">
        <v>35</v>
      </c>
      <c r="F278" s="98">
        <v>2</v>
      </c>
      <c r="G278" s="11">
        <v>16590</v>
      </c>
      <c r="H278" s="50">
        <v>1</v>
      </c>
      <c r="I278" s="51">
        <v>1</v>
      </c>
      <c r="J278" s="223">
        <f>ROUND(F278*G278*H278*I278,-3)</f>
        <v>33000</v>
      </c>
      <c r="K278" s="39">
        <f t="shared" si="23"/>
        <v>33000</v>
      </c>
      <c r="L278" s="261">
        <f t="shared" si="24"/>
        <v>0</v>
      </c>
      <c r="M278" s="14"/>
    </row>
    <row r="279" spans="1:13" ht="61.5" customHeight="1" x14ac:dyDescent="0.3">
      <c r="A279" s="149">
        <v>15</v>
      </c>
      <c r="B279" s="150" t="s">
        <v>357</v>
      </c>
      <c r="C279" s="455" t="s">
        <v>1080</v>
      </c>
      <c r="D279" s="456"/>
      <c r="E279" s="456"/>
      <c r="F279" s="456"/>
      <c r="G279" s="456"/>
      <c r="H279" s="456"/>
      <c r="I279" s="457"/>
      <c r="J279" s="221">
        <f>SUM(J280:J295)</f>
        <v>140315000</v>
      </c>
      <c r="K279" s="39">
        <f t="shared" si="23"/>
        <v>0</v>
      </c>
      <c r="L279" s="261">
        <f t="shared" si="24"/>
        <v>140315000</v>
      </c>
      <c r="M279" s="24"/>
    </row>
    <row r="280" spans="1:13" ht="90" customHeight="1" x14ac:dyDescent="0.25">
      <c r="A280" s="67"/>
      <c r="B280" s="68"/>
      <c r="C280" s="25" t="s">
        <v>1062</v>
      </c>
      <c r="D280" s="267" t="s">
        <v>112</v>
      </c>
      <c r="E280" s="27" t="s">
        <v>23</v>
      </c>
      <c r="F280" s="35">
        <v>41.1</v>
      </c>
      <c r="G280" s="464" t="s">
        <v>1064</v>
      </c>
      <c r="H280" s="464"/>
      <c r="I280" s="465"/>
      <c r="J280" s="227"/>
      <c r="K280" s="39"/>
      <c r="L280" s="261">
        <f t="shared" si="24"/>
        <v>0</v>
      </c>
      <c r="M280" s="216">
        <v>41.6</v>
      </c>
    </row>
    <row r="281" spans="1:13" ht="38.25" x14ac:dyDescent="0.3">
      <c r="A281" s="69"/>
      <c r="B281" s="8"/>
      <c r="C281" s="82" t="s">
        <v>358</v>
      </c>
      <c r="D281" s="269" t="s">
        <v>88</v>
      </c>
      <c r="E281" s="8" t="s">
        <v>25</v>
      </c>
      <c r="F281" s="72">
        <f>(1.4*0.9*5.1)*2</f>
        <v>12.851999999999999</v>
      </c>
      <c r="G281" s="11">
        <v>2828000</v>
      </c>
      <c r="H281" s="45">
        <v>0.8</v>
      </c>
      <c r="I281" s="31">
        <v>1.1479999999999999</v>
      </c>
      <c r="J281" s="223">
        <f t="shared" ref="J281:J294" si="25">ROUND(F281*G281*H281*I281,-3)</f>
        <v>33380000</v>
      </c>
      <c r="K281" s="39">
        <f t="shared" si="23"/>
        <v>33380000</v>
      </c>
      <c r="L281" s="261">
        <f t="shared" si="24"/>
        <v>0</v>
      </c>
      <c r="M281" s="14"/>
    </row>
    <row r="282" spans="1:13" ht="38.25" x14ac:dyDescent="0.3">
      <c r="A282" s="69"/>
      <c r="B282" s="8"/>
      <c r="C282" s="82" t="s">
        <v>359</v>
      </c>
      <c r="D282" s="271" t="s">
        <v>309</v>
      </c>
      <c r="E282" s="27" t="s">
        <v>23</v>
      </c>
      <c r="F282" s="72">
        <f>7*1.8</f>
        <v>12.6</v>
      </c>
      <c r="G282" s="29">
        <v>1566000</v>
      </c>
      <c r="H282" s="45">
        <v>0.8</v>
      </c>
      <c r="I282" s="159">
        <v>1.1479999999999999</v>
      </c>
      <c r="J282" s="223">
        <f t="shared" si="25"/>
        <v>18122000</v>
      </c>
      <c r="K282" s="39">
        <f t="shared" si="23"/>
        <v>18122000</v>
      </c>
      <c r="L282" s="261">
        <f t="shared" si="24"/>
        <v>0</v>
      </c>
      <c r="M282" s="14"/>
    </row>
    <row r="283" spans="1:13" ht="38.25" x14ac:dyDescent="0.3">
      <c r="A283" s="69"/>
      <c r="B283" s="8"/>
      <c r="C283" s="82" t="s">
        <v>360</v>
      </c>
      <c r="D283" s="267" t="s">
        <v>26</v>
      </c>
      <c r="E283" s="71" t="s">
        <v>23</v>
      </c>
      <c r="F283" s="72">
        <f>5.3*2.8</f>
        <v>14.839999999999998</v>
      </c>
      <c r="G283" s="29">
        <v>679000</v>
      </c>
      <c r="H283" s="45">
        <v>0.8</v>
      </c>
      <c r="I283" s="31">
        <v>1.1479999999999999</v>
      </c>
      <c r="J283" s="223">
        <f t="shared" si="25"/>
        <v>9254000</v>
      </c>
      <c r="K283" s="39">
        <f t="shared" si="23"/>
        <v>9254000</v>
      </c>
      <c r="L283" s="261">
        <f t="shared" si="24"/>
        <v>0</v>
      </c>
      <c r="M283" s="158"/>
    </row>
    <row r="284" spans="1:13" ht="38.25" x14ac:dyDescent="0.3">
      <c r="A284" s="69"/>
      <c r="B284" s="8"/>
      <c r="C284" s="82" t="s">
        <v>361</v>
      </c>
      <c r="D284" s="267" t="s">
        <v>24</v>
      </c>
      <c r="E284" s="27" t="s">
        <v>25</v>
      </c>
      <c r="F284" s="72">
        <f>(0.35*0.35*1.3)*2</f>
        <v>0.31849999999999995</v>
      </c>
      <c r="G284" s="29">
        <v>2828000</v>
      </c>
      <c r="H284" s="45">
        <v>0.8</v>
      </c>
      <c r="I284" s="31">
        <v>1.1479999999999999</v>
      </c>
      <c r="J284" s="223">
        <f t="shared" si="25"/>
        <v>827000</v>
      </c>
      <c r="K284" s="39">
        <f t="shared" si="23"/>
        <v>827000</v>
      </c>
      <c r="L284" s="261">
        <f t="shared" si="24"/>
        <v>0</v>
      </c>
      <c r="M284" s="14"/>
    </row>
    <row r="285" spans="1:13" ht="37.5" x14ac:dyDescent="0.3">
      <c r="A285" s="69"/>
      <c r="B285" s="8"/>
      <c r="C285" s="82" t="s">
        <v>362</v>
      </c>
      <c r="D285" s="270" t="s">
        <v>29</v>
      </c>
      <c r="E285" s="27" t="s">
        <v>23</v>
      </c>
      <c r="F285" s="72">
        <f>(2*0.7)*2+(4.1*2.8)*2</f>
        <v>25.759999999999998</v>
      </c>
      <c r="G285" s="29">
        <v>792000</v>
      </c>
      <c r="H285" s="45">
        <v>0.8</v>
      </c>
      <c r="I285" s="31">
        <v>1.1479999999999999</v>
      </c>
      <c r="J285" s="223">
        <f t="shared" si="25"/>
        <v>18737000</v>
      </c>
      <c r="K285" s="39">
        <f t="shared" si="23"/>
        <v>18737000</v>
      </c>
      <c r="L285" s="261">
        <f t="shared" si="24"/>
        <v>0</v>
      </c>
      <c r="M285" s="14"/>
    </row>
    <row r="286" spans="1:13" ht="37.5" x14ac:dyDescent="0.3">
      <c r="A286" s="69"/>
      <c r="B286" s="8"/>
      <c r="C286" s="82" t="s">
        <v>819</v>
      </c>
      <c r="D286" s="270" t="s">
        <v>51</v>
      </c>
      <c r="E286" s="27" t="s">
        <v>23</v>
      </c>
      <c r="F286" s="72">
        <f>5.3*6.2</f>
        <v>32.86</v>
      </c>
      <c r="G286" s="29">
        <v>453000</v>
      </c>
      <c r="H286" s="45">
        <v>0.8</v>
      </c>
      <c r="I286" s="31">
        <v>1.1479999999999999</v>
      </c>
      <c r="J286" s="223">
        <f t="shared" si="25"/>
        <v>13671000</v>
      </c>
      <c r="K286" s="39">
        <f t="shared" si="23"/>
        <v>13671000</v>
      </c>
      <c r="L286" s="261">
        <f t="shared" si="24"/>
        <v>0</v>
      </c>
      <c r="M286" s="14"/>
    </row>
    <row r="287" spans="1:13" ht="38.25" x14ac:dyDescent="0.3">
      <c r="A287" s="69"/>
      <c r="B287" s="8"/>
      <c r="C287" s="82" t="s">
        <v>363</v>
      </c>
      <c r="D287" s="267" t="s">
        <v>24</v>
      </c>
      <c r="E287" s="8" t="s">
        <v>25</v>
      </c>
      <c r="F287" s="89">
        <f>(2.8*0.5*0.35)*2</f>
        <v>0.97999999999999987</v>
      </c>
      <c r="G287" s="29">
        <v>2828000</v>
      </c>
      <c r="H287" s="45">
        <v>0.8</v>
      </c>
      <c r="I287" s="31">
        <v>1.1479999999999999</v>
      </c>
      <c r="J287" s="223">
        <f t="shared" si="25"/>
        <v>2545000</v>
      </c>
      <c r="K287" s="39">
        <f t="shared" si="23"/>
        <v>2545000</v>
      </c>
      <c r="L287" s="261">
        <f t="shared" si="24"/>
        <v>0</v>
      </c>
      <c r="M287" s="14"/>
    </row>
    <row r="288" spans="1:13" ht="25.5" x14ac:dyDescent="0.3">
      <c r="A288" s="69"/>
      <c r="B288" s="8"/>
      <c r="C288" s="82" t="s">
        <v>364</v>
      </c>
      <c r="D288" s="270" t="s">
        <v>28</v>
      </c>
      <c r="E288" s="27" t="s">
        <v>23</v>
      </c>
      <c r="F288" s="72">
        <f>3.2*2.8</f>
        <v>8.9599999999999991</v>
      </c>
      <c r="G288" s="11">
        <v>396000</v>
      </c>
      <c r="H288" s="45">
        <v>0.8</v>
      </c>
      <c r="I288" s="31">
        <v>1.1479999999999999</v>
      </c>
      <c r="J288" s="223">
        <f t="shared" si="25"/>
        <v>3259000</v>
      </c>
      <c r="K288" s="39">
        <f t="shared" si="23"/>
        <v>3259000</v>
      </c>
      <c r="L288" s="261">
        <f t="shared" si="24"/>
        <v>0</v>
      </c>
      <c r="M288" s="14"/>
    </row>
    <row r="289" spans="1:13" ht="25.5" x14ac:dyDescent="0.3">
      <c r="A289" s="69"/>
      <c r="B289" s="8"/>
      <c r="C289" s="82" t="s">
        <v>365</v>
      </c>
      <c r="D289" s="270" t="s">
        <v>28</v>
      </c>
      <c r="E289" s="71" t="s">
        <v>23</v>
      </c>
      <c r="F289" s="72">
        <f>5.1*4.2</f>
        <v>21.419999999999998</v>
      </c>
      <c r="G289" s="11">
        <v>396000</v>
      </c>
      <c r="H289" s="45">
        <v>0.8</v>
      </c>
      <c r="I289" s="31">
        <v>1.1479999999999999</v>
      </c>
      <c r="J289" s="223">
        <f t="shared" si="25"/>
        <v>7790000</v>
      </c>
      <c r="K289" s="39">
        <f t="shared" si="23"/>
        <v>7790000</v>
      </c>
      <c r="L289" s="261">
        <f t="shared" si="24"/>
        <v>0</v>
      </c>
      <c r="M289" s="14"/>
    </row>
    <row r="290" spans="1:13" ht="25.5" x14ac:dyDescent="0.3">
      <c r="A290" s="69"/>
      <c r="B290" s="8"/>
      <c r="C290" s="82" t="s">
        <v>366</v>
      </c>
      <c r="D290" s="270" t="s">
        <v>31</v>
      </c>
      <c r="E290" s="27" t="s">
        <v>23</v>
      </c>
      <c r="F290" s="75">
        <f>9.2*5.2</f>
        <v>47.839999999999996</v>
      </c>
      <c r="G290" s="29">
        <v>339000</v>
      </c>
      <c r="H290" s="45">
        <v>0.8</v>
      </c>
      <c r="I290" s="31">
        <v>1.1479999999999999</v>
      </c>
      <c r="J290" s="223">
        <f t="shared" si="25"/>
        <v>14894000</v>
      </c>
      <c r="K290" s="39">
        <f t="shared" si="23"/>
        <v>14894000</v>
      </c>
      <c r="L290" s="261">
        <f t="shared" si="24"/>
        <v>0</v>
      </c>
      <c r="M290" s="14"/>
    </row>
    <row r="291" spans="1:13" ht="25.5" x14ac:dyDescent="0.3">
      <c r="A291" s="69"/>
      <c r="B291" s="8"/>
      <c r="C291" s="82" t="s">
        <v>367</v>
      </c>
      <c r="D291" s="192" t="s">
        <v>58</v>
      </c>
      <c r="E291" s="27" t="s">
        <v>35</v>
      </c>
      <c r="F291" s="98">
        <v>2</v>
      </c>
      <c r="G291" s="29">
        <v>1065100</v>
      </c>
      <c r="H291" s="50">
        <v>1</v>
      </c>
      <c r="I291" s="51">
        <v>1</v>
      </c>
      <c r="J291" s="223">
        <f t="shared" si="25"/>
        <v>2130000</v>
      </c>
      <c r="K291" s="39">
        <f t="shared" si="23"/>
        <v>2130000</v>
      </c>
      <c r="L291" s="261">
        <f t="shared" si="24"/>
        <v>0</v>
      </c>
      <c r="M291" s="14"/>
    </row>
    <row r="292" spans="1:13" ht="56.25" x14ac:dyDescent="0.3">
      <c r="A292" s="69"/>
      <c r="B292" s="8"/>
      <c r="C292" s="82" t="s">
        <v>368</v>
      </c>
      <c r="D292" s="270" t="s">
        <v>29</v>
      </c>
      <c r="E292" s="27" t="s">
        <v>23</v>
      </c>
      <c r="F292" s="72">
        <f>(4.9*0.4)*2+(1.5*1.2)*2</f>
        <v>7.52</v>
      </c>
      <c r="G292" s="29">
        <v>792000</v>
      </c>
      <c r="H292" s="45">
        <v>0.8</v>
      </c>
      <c r="I292" s="31">
        <v>1.1479999999999999</v>
      </c>
      <c r="J292" s="223">
        <f t="shared" si="25"/>
        <v>5470000</v>
      </c>
      <c r="K292" s="39">
        <f t="shared" si="23"/>
        <v>5470000</v>
      </c>
      <c r="L292" s="261">
        <f t="shared" si="24"/>
        <v>0</v>
      </c>
      <c r="M292" s="14"/>
    </row>
    <row r="293" spans="1:13" ht="38.25" x14ac:dyDescent="0.3">
      <c r="A293" s="69"/>
      <c r="B293" s="8"/>
      <c r="C293" s="82" t="s">
        <v>369</v>
      </c>
      <c r="D293" s="273" t="s">
        <v>44</v>
      </c>
      <c r="E293" s="63" t="s">
        <v>45</v>
      </c>
      <c r="F293" s="77">
        <v>3</v>
      </c>
      <c r="G293" s="46">
        <v>28000</v>
      </c>
      <c r="H293" s="45">
        <v>0.8</v>
      </c>
      <c r="I293" s="31">
        <v>1.1479999999999999</v>
      </c>
      <c r="J293" s="223">
        <f t="shared" si="25"/>
        <v>77000</v>
      </c>
      <c r="K293" s="39">
        <f t="shared" si="23"/>
        <v>77000</v>
      </c>
      <c r="L293" s="261">
        <f t="shared" si="24"/>
        <v>0</v>
      </c>
      <c r="M293" s="14"/>
    </row>
    <row r="294" spans="1:13" ht="38.25" x14ac:dyDescent="0.3">
      <c r="A294" s="69"/>
      <c r="B294" s="8"/>
      <c r="C294" s="82" t="s">
        <v>370</v>
      </c>
      <c r="D294" s="271" t="s">
        <v>47</v>
      </c>
      <c r="E294" s="63" t="s">
        <v>45</v>
      </c>
      <c r="F294" s="77">
        <v>3</v>
      </c>
      <c r="G294" s="46">
        <v>28000</v>
      </c>
      <c r="H294" s="45">
        <v>0.8</v>
      </c>
      <c r="I294" s="31">
        <v>1.1479999999999999</v>
      </c>
      <c r="J294" s="223">
        <f t="shared" si="25"/>
        <v>77000</v>
      </c>
      <c r="K294" s="39">
        <f t="shared" si="23"/>
        <v>77000</v>
      </c>
      <c r="L294" s="261">
        <f t="shared" si="24"/>
        <v>0</v>
      </c>
      <c r="M294" s="14"/>
    </row>
    <row r="295" spans="1:13" ht="56.25" x14ac:dyDescent="0.3">
      <c r="A295" s="69"/>
      <c r="B295" s="8"/>
      <c r="C295" s="82" t="s">
        <v>371</v>
      </c>
      <c r="D295" s="193" t="s">
        <v>873</v>
      </c>
      <c r="E295" s="191" t="s">
        <v>872</v>
      </c>
      <c r="F295" s="195">
        <f>1.5*1.5</f>
        <v>2.25</v>
      </c>
      <c r="G295" s="46">
        <f>161000+4718000</f>
        <v>4879000</v>
      </c>
      <c r="H295" s="45">
        <v>0.8</v>
      </c>
      <c r="I295" s="31">
        <v>1.1479999999999999</v>
      </c>
      <c r="J295" s="224">
        <f>ROUND(F295*G295*H295*I295,-3)</f>
        <v>10082000</v>
      </c>
      <c r="K295" s="39">
        <f t="shared" si="23"/>
        <v>10082000</v>
      </c>
      <c r="L295" s="261">
        <f t="shared" si="24"/>
        <v>0</v>
      </c>
      <c r="M295" s="14"/>
    </row>
    <row r="296" spans="1:13" ht="61.5" customHeight="1" x14ac:dyDescent="0.3">
      <c r="A296" s="149">
        <v>16</v>
      </c>
      <c r="B296" s="150" t="s">
        <v>372</v>
      </c>
      <c r="C296" s="455" t="s">
        <v>1081</v>
      </c>
      <c r="D296" s="456"/>
      <c r="E296" s="456"/>
      <c r="F296" s="456"/>
      <c r="G296" s="456"/>
      <c r="H296" s="456"/>
      <c r="I296" s="457"/>
      <c r="J296" s="221">
        <f>SUM(J297:J307)</f>
        <v>64926000</v>
      </c>
      <c r="K296" s="39">
        <f t="shared" si="23"/>
        <v>0</v>
      </c>
      <c r="L296" s="261">
        <f t="shared" si="24"/>
        <v>64926000</v>
      </c>
      <c r="M296" s="24"/>
    </row>
    <row r="297" spans="1:13" ht="90" customHeight="1" x14ac:dyDescent="0.3">
      <c r="A297" s="67"/>
      <c r="B297" s="68"/>
      <c r="C297" s="25" t="s">
        <v>1062</v>
      </c>
      <c r="D297" s="267" t="s">
        <v>112</v>
      </c>
      <c r="E297" s="27" t="s">
        <v>23</v>
      </c>
      <c r="F297" s="35">
        <v>25.1</v>
      </c>
      <c r="G297" s="464" t="s">
        <v>1064</v>
      </c>
      <c r="H297" s="464"/>
      <c r="I297" s="465"/>
      <c r="J297" s="227"/>
      <c r="K297" s="39"/>
      <c r="L297" s="261">
        <f t="shared" si="24"/>
        <v>0</v>
      </c>
      <c r="M297" s="14"/>
    </row>
    <row r="298" spans="1:13" ht="37.5" x14ac:dyDescent="0.3">
      <c r="A298" s="69"/>
      <c r="B298" s="8"/>
      <c r="C298" s="82" t="s">
        <v>861</v>
      </c>
      <c r="D298" s="270" t="s">
        <v>51</v>
      </c>
      <c r="E298" s="27" t="s">
        <v>23</v>
      </c>
      <c r="F298" s="72">
        <f>8.4*4.05</f>
        <v>34.020000000000003</v>
      </c>
      <c r="G298" s="29">
        <v>453000</v>
      </c>
      <c r="H298" s="45">
        <v>0.8</v>
      </c>
      <c r="I298" s="31">
        <v>1.1479999999999999</v>
      </c>
      <c r="J298" s="223">
        <f t="shared" ref="J298:J307" si="26">ROUND(F298*G298*H298*I298,-3)</f>
        <v>14154000</v>
      </c>
      <c r="K298" s="39">
        <f t="shared" si="23"/>
        <v>14154000</v>
      </c>
      <c r="L298" s="261">
        <f t="shared" si="24"/>
        <v>0</v>
      </c>
      <c r="M298" s="14"/>
    </row>
    <row r="299" spans="1:13" ht="38.25" x14ac:dyDescent="0.3">
      <c r="A299" s="69"/>
      <c r="B299" s="8"/>
      <c r="C299" s="82" t="s">
        <v>373</v>
      </c>
      <c r="D299" s="271" t="s">
        <v>32</v>
      </c>
      <c r="E299" s="27" t="s">
        <v>23</v>
      </c>
      <c r="F299" s="72">
        <f>5.5*3.6</f>
        <v>19.8</v>
      </c>
      <c r="G299" s="29">
        <v>215000</v>
      </c>
      <c r="H299" s="45">
        <v>0.8</v>
      </c>
      <c r="I299" s="31">
        <v>1.1479999999999999</v>
      </c>
      <c r="J299" s="223">
        <f t="shared" si="26"/>
        <v>3910000</v>
      </c>
      <c r="K299" s="39">
        <f t="shared" si="23"/>
        <v>3910000</v>
      </c>
      <c r="L299" s="261">
        <f t="shared" si="24"/>
        <v>0</v>
      </c>
      <c r="M299" s="14"/>
    </row>
    <row r="300" spans="1:13" ht="38.25" x14ac:dyDescent="0.3">
      <c r="A300" s="69"/>
      <c r="B300" s="8"/>
      <c r="C300" s="82" t="s">
        <v>374</v>
      </c>
      <c r="D300" s="267" t="s">
        <v>161</v>
      </c>
      <c r="E300" s="71" t="s">
        <v>23</v>
      </c>
      <c r="F300" s="72">
        <f>3.6*2.8</f>
        <v>10.08</v>
      </c>
      <c r="G300" s="11">
        <v>396000</v>
      </c>
      <c r="H300" s="45">
        <v>0.8</v>
      </c>
      <c r="I300" s="31">
        <v>1.1479999999999999</v>
      </c>
      <c r="J300" s="223">
        <f t="shared" si="26"/>
        <v>3666000</v>
      </c>
      <c r="K300" s="39">
        <f t="shared" si="23"/>
        <v>3666000</v>
      </c>
      <c r="L300" s="261">
        <f t="shared" si="24"/>
        <v>0</v>
      </c>
      <c r="M300" s="158"/>
    </row>
    <row r="301" spans="1:13" ht="36" customHeight="1" x14ac:dyDescent="0.3">
      <c r="A301" s="69"/>
      <c r="B301" s="8"/>
      <c r="C301" s="82" t="s">
        <v>375</v>
      </c>
      <c r="D301" s="272" t="s">
        <v>33</v>
      </c>
      <c r="E301" s="27" t="s">
        <v>23</v>
      </c>
      <c r="F301" s="89">
        <f>3.6*0.5</f>
        <v>1.8</v>
      </c>
      <c r="G301" s="29">
        <v>453000</v>
      </c>
      <c r="H301" s="45">
        <v>0.8</v>
      </c>
      <c r="I301" s="31">
        <v>1.1479999999999999</v>
      </c>
      <c r="J301" s="223">
        <f t="shared" si="26"/>
        <v>749000</v>
      </c>
      <c r="K301" s="39">
        <f t="shared" si="23"/>
        <v>749000</v>
      </c>
      <c r="L301" s="261">
        <f t="shared" si="24"/>
        <v>0</v>
      </c>
      <c r="M301" s="14"/>
    </row>
    <row r="302" spans="1:13" ht="37.5" x14ac:dyDescent="0.3">
      <c r="A302" s="69"/>
      <c r="B302" s="8"/>
      <c r="C302" s="82" t="s">
        <v>376</v>
      </c>
      <c r="D302" s="270" t="s">
        <v>29</v>
      </c>
      <c r="E302" s="27" t="s">
        <v>23</v>
      </c>
      <c r="F302" s="72">
        <f>8.4*3.7+3.5*1.6+6.8*1.2+1.4*3.7</f>
        <v>50.02</v>
      </c>
      <c r="G302" s="29">
        <v>792000</v>
      </c>
      <c r="H302" s="45">
        <v>0.8</v>
      </c>
      <c r="I302" s="31">
        <v>1.1479999999999999</v>
      </c>
      <c r="J302" s="223">
        <f t="shared" si="26"/>
        <v>36383000</v>
      </c>
      <c r="K302" s="39">
        <f t="shared" si="23"/>
        <v>36383000</v>
      </c>
      <c r="L302" s="261">
        <f t="shared" si="24"/>
        <v>0</v>
      </c>
      <c r="M302" s="14"/>
    </row>
    <row r="303" spans="1:13" ht="38.25" x14ac:dyDescent="0.3">
      <c r="A303" s="69"/>
      <c r="B303" s="8"/>
      <c r="C303" s="82" t="s">
        <v>377</v>
      </c>
      <c r="D303" s="271" t="s">
        <v>32</v>
      </c>
      <c r="E303" s="27" t="s">
        <v>23</v>
      </c>
      <c r="F303" s="72">
        <f>6.7*4.05</f>
        <v>27.134999999999998</v>
      </c>
      <c r="G303" s="29">
        <v>215000</v>
      </c>
      <c r="H303" s="45">
        <v>0.8</v>
      </c>
      <c r="I303" s="31">
        <v>1.1479999999999999</v>
      </c>
      <c r="J303" s="223">
        <f t="shared" si="26"/>
        <v>5358000</v>
      </c>
      <c r="K303" s="39">
        <f t="shared" si="23"/>
        <v>5358000</v>
      </c>
      <c r="L303" s="261">
        <f t="shared" si="24"/>
        <v>0</v>
      </c>
      <c r="M303" s="14"/>
    </row>
    <row r="304" spans="1:13" ht="38.25" x14ac:dyDescent="0.3">
      <c r="A304" s="69"/>
      <c r="B304" s="8"/>
      <c r="C304" s="82" t="s">
        <v>342</v>
      </c>
      <c r="D304" s="273" t="s">
        <v>44</v>
      </c>
      <c r="E304" s="63" t="s">
        <v>45</v>
      </c>
      <c r="F304" s="77">
        <v>5.5</v>
      </c>
      <c r="G304" s="46">
        <v>28000</v>
      </c>
      <c r="H304" s="45">
        <v>0.8</v>
      </c>
      <c r="I304" s="31">
        <v>1.1479999999999999</v>
      </c>
      <c r="J304" s="223">
        <f t="shared" si="26"/>
        <v>141000</v>
      </c>
      <c r="K304" s="39">
        <f t="shared" si="23"/>
        <v>141000</v>
      </c>
      <c r="L304" s="261">
        <f t="shared" si="24"/>
        <v>0</v>
      </c>
      <c r="M304" s="14"/>
    </row>
    <row r="305" spans="1:13" ht="38.25" x14ac:dyDescent="0.3">
      <c r="A305" s="69"/>
      <c r="B305" s="8"/>
      <c r="C305" s="82" t="s">
        <v>188</v>
      </c>
      <c r="D305" s="271" t="s">
        <v>47</v>
      </c>
      <c r="E305" s="63" t="s">
        <v>45</v>
      </c>
      <c r="F305" s="77">
        <v>5.5</v>
      </c>
      <c r="G305" s="46">
        <v>28000</v>
      </c>
      <c r="H305" s="45">
        <v>0.8</v>
      </c>
      <c r="I305" s="31">
        <v>1.1479999999999999</v>
      </c>
      <c r="J305" s="223">
        <f t="shared" si="26"/>
        <v>141000</v>
      </c>
      <c r="K305" s="39">
        <f t="shared" si="23"/>
        <v>141000</v>
      </c>
      <c r="L305" s="261">
        <f t="shared" si="24"/>
        <v>0</v>
      </c>
      <c r="M305" s="14"/>
    </row>
    <row r="306" spans="1:13" ht="37.5" customHeight="1" x14ac:dyDescent="0.3">
      <c r="A306" s="69"/>
      <c r="B306" s="8"/>
      <c r="C306" s="82" t="s">
        <v>378</v>
      </c>
      <c r="D306" s="270" t="s">
        <v>52</v>
      </c>
      <c r="E306" s="96" t="s">
        <v>91</v>
      </c>
      <c r="F306" s="72">
        <f>5.5*0.3</f>
        <v>1.65</v>
      </c>
      <c r="G306" s="11" t="s">
        <v>53</v>
      </c>
      <c r="H306" s="45">
        <v>0.8</v>
      </c>
      <c r="I306" s="31">
        <v>1.1479999999999999</v>
      </c>
      <c r="J306" s="223">
        <f t="shared" si="26"/>
        <v>358000</v>
      </c>
      <c r="K306" s="39">
        <f t="shared" si="23"/>
        <v>358000</v>
      </c>
      <c r="L306" s="261">
        <f t="shared" si="24"/>
        <v>0</v>
      </c>
      <c r="M306" s="14"/>
    </row>
    <row r="307" spans="1:13" ht="37.5" customHeight="1" x14ac:dyDescent="0.3">
      <c r="A307" s="69"/>
      <c r="B307" s="8"/>
      <c r="C307" s="82" t="s">
        <v>379</v>
      </c>
      <c r="D307" s="267" t="s">
        <v>95</v>
      </c>
      <c r="E307" s="71" t="s">
        <v>25</v>
      </c>
      <c r="F307" s="72">
        <f>2.4*0.3*0.1</f>
        <v>7.1999999999999995E-2</v>
      </c>
      <c r="G307" s="11">
        <v>1000000</v>
      </c>
      <c r="H307" s="45">
        <v>0.8</v>
      </c>
      <c r="I307" s="31">
        <v>1.1479999999999999</v>
      </c>
      <c r="J307" s="223">
        <f t="shared" si="26"/>
        <v>66000</v>
      </c>
      <c r="K307" s="39">
        <f t="shared" si="23"/>
        <v>66000</v>
      </c>
      <c r="L307" s="261">
        <f t="shared" si="24"/>
        <v>0</v>
      </c>
      <c r="M307" s="14"/>
    </row>
    <row r="308" spans="1:13" ht="61.5" customHeight="1" x14ac:dyDescent="0.3">
      <c r="A308" s="149">
        <v>17</v>
      </c>
      <c r="B308" s="150" t="s">
        <v>380</v>
      </c>
      <c r="C308" s="455" t="s">
        <v>1082</v>
      </c>
      <c r="D308" s="456"/>
      <c r="E308" s="456"/>
      <c r="F308" s="456"/>
      <c r="G308" s="456"/>
      <c r="H308" s="456"/>
      <c r="I308" s="457"/>
      <c r="J308" s="221">
        <f>SUM(J309:J324)</f>
        <v>863430000</v>
      </c>
      <c r="K308" s="39">
        <f t="shared" si="23"/>
        <v>0</v>
      </c>
      <c r="L308" s="261">
        <f t="shared" si="24"/>
        <v>863430000</v>
      </c>
      <c r="M308" s="24"/>
    </row>
    <row r="309" spans="1:13" ht="90" customHeight="1" x14ac:dyDescent="0.3">
      <c r="A309" s="67"/>
      <c r="B309" s="68"/>
      <c r="C309" s="25" t="s">
        <v>1062</v>
      </c>
      <c r="D309" s="267" t="s">
        <v>112</v>
      </c>
      <c r="E309" s="27" t="s">
        <v>23</v>
      </c>
      <c r="F309" s="35">
        <v>188.2</v>
      </c>
      <c r="G309" s="458" t="s">
        <v>1064</v>
      </c>
      <c r="H309" s="459"/>
      <c r="I309" s="460"/>
      <c r="J309" s="227"/>
      <c r="K309" s="39"/>
      <c r="L309" s="261">
        <f t="shared" si="24"/>
        <v>0</v>
      </c>
      <c r="M309" s="14"/>
    </row>
    <row r="310" spans="1:13" ht="85.5" customHeight="1" x14ac:dyDescent="0.3">
      <c r="A310" s="69"/>
      <c r="B310" s="8"/>
      <c r="C310" s="82" t="s">
        <v>381</v>
      </c>
      <c r="D310" s="274" t="s">
        <v>113</v>
      </c>
      <c r="E310" s="27" t="s">
        <v>23</v>
      </c>
      <c r="F310" s="75">
        <f>7.7*27.3</f>
        <v>210.21</v>
      </c>
      <c r="G310" s="29">
        <v>3224000</v>
      </c>
      <c r="H310" s="45">
        <v>0.8</v>
      </c>
      <c r="I310" s="102">
        <v>1.1479999999999999</v>
      </c>
      <c r="J310" s="223">
        <f t="shared" ref="J310:J324" si="27">ROUND(F310*G310*H310*I310,-3)</f>
        <v>622415000</v>
      </c>
      <c r="K310" s="39">
        <f t="shared" si="23"/>
        <v>622415000</v>
      </c>
      <c r="L310" s="261">
        <f t="shared" si="24"/>
        <v>0</v>
      </c>
      <c r="M310" s="14"/>
    </row>
    <row r="311" spans="1:13" ht="25.5" x14ac:dyDescent="0.3">
      <c r="A311" s="69"/>
      <c r="B311" s="8"/>
      <c r="C311" s="82" t="s">
        <v>382</v>
      </c>
      <c r="D311" s="280" t="s">
        <v>163</v>
      </c>
      <c r="E311" s="27" t="s">
        <v>35</v>
      </c>
      <c r="F311" s="98">
        <v>1</v>
      </c>
      <c r="G311" s="29">
        <v>40910</v>
      </c>
      <c r="H311" s="50">
        <v>1</v>
      </c>
      <c r="I311" s="51">
        <v>1</v>
      </c>
      <c r="J311" s="223">
        <f t="shared" si="27"/>
        <v>41000</v>
      </c>
      <c r="K311" s="39">
        <f t="shared" si="23"/>
        <v>41000</v>
      </c>
      <c r="L311" s="261">
        <f t="shared" si="24"/>
        <v>0</v>
      </c>
      <c r="M311" s="14"/>
    </row>
    <row r="312" spans="1:13" ht="43.5" customHeight="1" x14ac:dyDescent="0.3">
      <c r="A312" s="69"/>
      <c r="B312" s="8"/>
      <c r="C312" s="82" t="s">
        <v>383</v>
      </c>
      <c r="D312" s="270" t="s">
        <v>52</v>
      </c>
      <c r="E312" s="71" t="s">
        <v>23</v>
      </c>
      <c r="F312" s="72">
        <f>14*7.7+14*2.1</f>
        <v>137.19999999999999</v>
      </c>
      <c r="G312" s="11" t="s">
        <v>53</v>
      </c>
      <c r="H312" s="45">
        <v>0.8</v>
      </c>
      <c r="I312" s="31">
        <v>1.1479999999999999</v>
      </c>
      <c r="J312" s="223">
        <f t="shared" si="27"/>
        <v>29737000</v>
      </c>
      <c r="K312" s="39">
        <f t="shared" si="23"/>
        <v>29737000</v>
      </c>
      <c r="L312" s="261">
        <f t="shared" si="24"/>
        <v>0</v>
      </c>
      <c r="M312" s="158"/>
    </row>
    <row r="313" spans="1:13" ht="25.5" x14ac:dyDescent="0.3">
      <c r="A313" s="69"/>
      <c r="B313" s="8"/>
      <c r="C313" s="82" t="s">
        <v>384</v>
      </c>
      <c r="D313" s="192" t="s">
        <v>58</v>
      </c>
      <c r="E313" s="27" t="s">
        <v>35</v>
      </c>
      <c r="F313" s="98">
        <v>3</v>
      </c>
      <c r="G313" s="29">
        <v>266280</v>
      </c>
      <c r="H313" s="50">
        <v>1</v>
      </c>
      <c r="I313" s="51">
        <v>1</v>
      </c>
      <c r="J313" s="223">
        <f t="shared" si="27"/>
        <v>799000</v>
      </c>
      <c r="K313" s="39">
        <f t="shared" si="23"/>
        <v>799000</v>
      </c>
      <c r="L313" s="261">
        <f t="shared" si="24"/>
        <v>0</v>
      </c>
      <c r="M313" s="14"/>
    </row>
    <row r="314" spans="1:13" ht="25.5" x14ac:dyDescent="0.3">
      <c r="A314" s="69"/>
      <c r="B314" s="8"/>
      <c r="C314" s="82" t="s">
        <v>385</v>
      </c>
      <c r="D314" s="271" t="s">
        <v>54</v>
      </c>
      <c r="E314" s="27" t="s">
        <v>23</v>
      </c>
      <c r="F314" s="72">
        <f>(5.8*3.1)*3</f>
        <v>53.94</v>
      </c>
      <c r="G314" s="46">
        <v>213000</v>
      </c>
      <c r="H314" s="45">
        <v>0.8</v>
      </c>
      <c r="I314" s="79">
        <v>1.1479999999999999</v>
      </c>
      <c r="J314" s="223">
        <f t="shared" si="27"/>
        <v>10552000</v>
      </c>
      <c r="K314" s="39">
        <f t="shared" si="23"/>
        <v>10552000</v>
      </c>
      <c r="L314" s="261">
        <f t="shared" si="24"/>
        <v>0</v>
      </c>
      <c r="M314" s="14"/>
    </row>
    <row r="315" spans="1:13" ht="38.25" x14ac:dyDescent="0.3">
      <c r="A315" s="69"/>
      <c r="B315" s="8"/>
      <c r="C315" s="82" t="s">
        <v>386</v>
      </c>
      <c r="D315" s="270" t="s">
        <v>80</v>
      </c>
      <c r="E315" s="71" t="s">
        <v>23</v>
      </c>
      <c r="F315" s="72">
        <f>14*7.7</f>
        <v>107.8</v>
      </c>
      <c r="G315" s="29">
        <v>385000</v>
      </c>
      <c r="H315" s="45">
        <v>0.8</v>
      </c>
      <c r="I315" s="31">
        <v>1.1479999999999999</v>
      </c>
      <c r="J315" s="223">
        <f t="shared" si="27"/>
        <v>38116000</v>
      </c>
      <c r="K315" s="39">
        <f t="shared" si="23"/>
        <v>38116000</v>
      </c>
      <c r="L315" s="261">
        <f t="shared" si="24"/>
        <v>0</v>
      </c>
      <c r="M315" s="14"/>
    </row>
    <row r="316" spans="1:13" ht="40.5" customHeight="1" x14ac:dyDescent="0.3">
      <c r="A316" s="69"/>
      <c r="B316" s="8"/>
      <c r="C316" s="82" t="s">
        <v>387</v>
      </c>
      <c r="D316" s="272" t="s">
        <v>33</v>
      </c>
      <c r="E316" s="27" t="s">
        <v>23</v>
      </c>
      <c r="F316" s="89">
        <f>14*5</f>
        <v>70</v>
      </c>
      <c r="G316" s="29">
        <v>453000</v>
      </c>
      <c r="H316" s="45">
        <v>0.8</v>
      </c>
      <c r="I316" s="31">
        <v>1.1479999999999999</v>
      </c>
      <c r="J316" s="223">
        <f t="shared" si="27"/>
        <v>29122000</v>
      </c>
      <c r="K316" s="39">
        <f t="shared" si="23"/>
        <v>29122000</v>
      </c>
      <c r="L316" s="261">
        <f t="shared" si="24"/>
        <v>0</v>
      </c>
      <c r="M316" s="14"/>
    </row>
    <row r="317" spans="1:13" ht="37.5" x14ac:dyDescent="0.3">
      <c r="A317" s="69"/>
      <c r="B317" s="8"/>
      <c r="C317" s="82" t="s">
        <v>830</v>
      </c>
      <c r="D317" s="270" t="s">
        <v>51</v>
      </c>
      <c r="E317" s="27" t="s">
        <v>23</v>
      </c>
      <c r="F317" s="72">
        <f>29.3*2.5</f>
        <v>73.25</v>
      </c>
      <c r="G317" s="29">
        <v>453000</v>
      </c>
      <c r="H317" s="45">
        <v>0.8</v>
      </c>
      <c r="I317" s="31">
        <v>1.1479999999999999</v>
      </c>
      <c r="J317" s="223">
        <f t="shared" si="27"/>
        <v>30475000</v>
      </c>
      <c r="K317" s="39">
        <f t="shared" si="23"/>
        <v>30475000</v>
      </c>
      <c r="L317" s="261">
        <f t="shared" si="24"/>
        <v>0</v>
      </c>
      <c r="M317" s="14"/>
    </row>
    <row r="318" spans="1:13" ht="37.5" x14ac:dyDescent="0.3">
      <c r="A318" s="69"/>
      <c r="B318" s="8"/>
      <c r="C318" s="82" t="s">
        <v>388</v>
      </c>
      <c r="D318" s="271" t="s">
        <v>54</v>
      </c>
      <c r="E318" s="27" t="s">
        <v>23</v>
      </c>
      <c r="F318" s="72">
        <f>(7.7*3)*4+(1.6*3)*4+10.9*1</f>
        <v>122.50000000000001</v>
      </c>
      <c r="G318" s="46">
        <v>213000</v>
      </c>
      <c r="H318" s="45">
        <v>0.8</v>
      </c>
      <c r="I318" s="57">
        <v>1.1479999999999999</v>
      </c>
      <c r="J318" s="223">
        <f t="shared" si="27"/>
        <v>23963000</v>
      </c>
      <c r="K318" s="39">
        <f t="shared" si="23"/>
        <v>23963000</v>
      </c>
      <c r="L318" s="261">
        <f t="shared" si="24"/>
        <v>0</v>
      </c>
      <c r="M318" s="14"/>
    </row>
    <row r="319" spans="1:13" ht="38.25" x14ac:dyDescent="0.3">
      <c r="A319" s="69"/>
      <c r="B319" s="8"/>
      <c r="C319" s="82" t="s">
        <v>389</v>
      </c>
      <c r="D319" s="267" t="s">
        <v>89</v>
      </c>
      <c r="E319" s="71" t="s">
        <v>23</v>
      </c>
      <c r="F319" s="72">
        <f>4.3*3</f>
        <v>12.899999999999999</v>
      </c>
      <c r="G319" s="29">
        <v>11000</v>
      </c>
      <c r="H319" s="45">
        <v>0.8</v>
      </c>
      <c r="I319" s="31">
        <v>1.1479999999999999</v>
      </c>
      <c r="J319" s="223">
        <f t="shared" si="27"/>
        <v>130000</v>
      </c>
      <c r="K319" s="39">
        <f t="shared" si="23"/>
        <v>130000</v>
      </c>
      <c r="L319" s="261">
        <f t="shared" si="24"/>
        <v>0</v>
      </c>
      <c r="M319" s="14"/>
    </row>
    <row r="320" spans="1:13" ht="37.5" x14ac:dyDescent="0.3">
      <c r="A320" s="69"/>
      <c r="B320" s="8"/>
      <c r="C320" s="82" t="s">
        <v>390</v>
      </c>
      <c r="D320" s="271" t="s">
        <v>54</v>
      </c>
      <c r="E320" s="27" t="s">
        <v>23</v>
      </c>
      <c r="F320" s="72">
        <f>(3.1*1.5)*3+3.1*1.2</f>
        <v>17.670000000000002</v>
      </c>
      <c r="G320" s="46">
        <v>213000</v>
      </c>
      <c r="H320" s="45">
        <v>0.8</v>
      </c>
      <c r="I320" s="79">
        <v>1.1479999999999999</v>
      </c>
      <c r="J320" s="223">
        <f t="shared" si="27"/>
        <v>3457000</v>
      </c>
      <c r="K320" s="39">
        <f t="shared" si="23"/>
        <v>3457000</v>
      </c>
      <c r="L320" s="261">
        <f t="shared" si="24"/>
        <v>0</v>
      </c>
      <c r="M320" s="14"/>
    </row>
    <row r="321" spans="1:256" ht="40.5" customHeight="1" x14ac:dyDescent="0.3">
      <c r="A321" s="69"/>
      <c r="B321" s="8"/>
      <c r="C321" s="82" t="s">
        <v>391</v>
      </c>
      <c r="D321" s="270" t="s">
        <v>55</v>
      </c>
      <c r="E321" s="27" t="s">
        <v>23</v>
      </c>
      <c r="F321" s="72">
        <f>14*2.4</f>
        <v>33.6</v>
      </c>
      <c r="G321" s="29">
        <v>905000</v>
      </c>
      <c r="H321" s="45">
        <v>0.8</v>
      </c>
      <c r="I321" s="79">
        <v>1.1479999999999999</v>
      </c>
      <c r="J321" s="223">
        <f t="shared" si="27"/>
        <v>27927000</v>
      </c>
      <c r="K321" s="39">
        <f t="shared" si="23"/>
        <v>27927000</v>
      </c>
      <c r="L321" s="261">
        <f t="shared" si="24"/>
        <v>0</v>
      </c>
      <c r="M321" s="14"/>
    </row>
    <row r="322" spans="1:256" ht="38.25" x14ac:dyDescent="0.3">
      <c r="A322" s="69"/>
      <c r="B322" s="8"/>
      <c r="C322" s="82" t="s">
        <v>392</v>
      </c>
      <c r="D322" s="271" t="s">
        <v>32</v>
      </c>
      <c r="E322" s="27" t="s">
        <v>23</v>
      </c>
      <c r="F322" s="72">
        <f>27.3*6</f>
        <v>163.80000000000001</v>
      </c>
      <c r="G322" s="29">
        <v>215000</v>
      </c>
      <c r="H322" s="45">
        <v>0.8</v>
      </c>
      <c r="I322" s="31">
        <v>1.1479999999999999</v>
      </c>
      <c r="J322" s="223">
        <f t="shared" si="27"/>
        <v>32343000</v>
      </c>
      <c r="K322" s="39">
        <f t="shared" si="23"/>
        <v>32343000</v>
      </c>
      <c r="L322" s="261">
        <f t="shared" si="24"/>
        <v>0</v>
      </c>
      <c r="M322" s="14"/>
    </row>
    <row r="323" spans="1:256" ht="38.25" x14ac:dyDescent="0.3">
      <c r="A323" s="69"/>
      <c r="B323" s="8"/>
      <c r="C323" s="82" t="s">
        <v>393</v>
      </c>
      <c r="D323" s="267" t="s">
        <v>24</v>
      </c>
      <c r="E323" s="8" t="s">
        <v>25</v>
      </c>
      <c r="F323" s="89">
        <f>7.7*0.6*0.15+(1.5*0.6*0.05)*2</f>
        <v>0.78299999999999992</v>
      </c>
      <c r="G323" s="29">
        <v>2828000</v>
      </c>
      <c r="H323" s="45">
        <v>0.8</v>
      </c>
      <c r="I323" s="31">
        <v>1.1479999999999999</v>
      </c>
      <c r="J323" s="223">
        <f t="shared" si="27"/>
        <v>2034000</v>
      </c>
      <c r="K323" s="39">
        <f t="shared" si="23"/>
        <v>2034000</v>
      </c>
      <c r="L323" s="261">
        <f t="shared" si="24"/>
        <v>0</v>
      </c>
      <c r="M323" s="14"/>
    </row>
    <row r="324" spans="1:256" ht="38.25" x14ac:dyDescent="0.3">
      <c r="A324" s="69"/>
      <c r="B324" s="8"/>
      <c r="C324" s="82" t="s">
        <v>394</v>
      </c>
      <c r="D324" s="267" t="s">
        <v>56</v>
      </c>
      <c r="E324" s="27" t="s">
        <v>23</v>
      </c>
      <c r="F324" s="72">
        <f>4.3*2.5+3*2.5</f>
        <v>18.25</v>
      </c>
      <c r="G324" s="29">
        <v>735000</v>
      </c>
      <c r="H324" s="45">
        <v>0.8</v>
      </c>
      <c r="I324" s="31">
        <v>1.1479999999999999</v>
      </c>
      <c r="J324" s="223">
        <f t="shared" si="27"/>
        <v>12319000</v>
      </c>
      <c r="K324" s="39">
        <f t="shared" si="23"/>
        <v>12319000</v>
      </c>
      <c r="L324" s="261">
        <f t="shared" si="24"/>
        <v>0</v>
      </c>
      <c r="M324" s="14"/>
    </row>
    <row r="325" spans="1:256" ht="61.5" customHeight="1" x14ac:dyDescent="0.3">
      <c r="A325" s="149">
        <v>18</v>
      </c>
      <c r="B325" s="150" t="s">
        <v>1289</v>
      </c>
      <c r="C325" s="455" t="s">
        <v>1290</v>
      </c>
      <c r="D325" s="456"/>
      <c r="E325" s="456"/>
      <c r="F325" s="456"/>
      <c r="G325" s="456"/>
      <c r="H325" s="456"/>
      <c r="I325" s="457"/>
      <c r="J325" s="221">
        <f>SUM(J326:J339)</f>
        <v>491328000</v>
      </c>
      <c r="K325" s="39">
        <f t="shared" si="23"/>
        <v>0</v>
      </c>
      <c r="L325" s="263"/>
      <c r="M325" s="24"/>
    </row>
    <row r="326" spans="1:256" s="290" customFormat="1" ht="56.25" x14ac:dyDescent="0.3">
      <c r="A326" s="211"/>
      <c r="B326" s="17"/>
      <c r="C326" s="25" t="s">
        <v>1163</v>
      </c>
      <c r="D326" s="267" t="s">
        <v>112</v>
      </c>
      <c r="E326" s="27" t="s">
        <v>23</v>
      </c>
      <c r="F326" s="35">
        <v>27</v>
      </c>
      <c r="G326" s="49">
        <v>11100000</v>
      </c>
      <c r="H326" s="323">
        <v>1</v>
      </c>
      <c r="I326" s="268">
        <v>1.4</v>
      </c>
      <c r="J326" s="32">
        <f>ROUND(F326*G326*H326*I326,-3)</f>
        <v>419580000</v>
      </c>
      <c r="K326" s="39">
        <f t="shared" si="23"/>
        <v>419580000</v>
      </c>
      <c r="L326" s="262">
        <f>J326-K326</f>
        <v>0</v>
      </c>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c r="DK326" s="14"/>
      <c r="DL326" s="14"/>
      <c r="DM326" s="14"/>
      <c r="DN326" s="14"/>
      <c r="DO326" s="14"/>
      <c r="DP326" s="14"/>
      <c r="DQ326" s="14"/>
      <c r="DR326" s="14"/>
      <c r="DS326" s="14"/>
      <c r="DT326" s="14"/>
      <c r="DU326" s="14"/>
      <c r="DV326" s="14"/>
      <c r="DW326" s="14"/>
      <c r="DX326" s="14"/>
      <c r="DY326" s="14"/>
      <c r="DZ326" s="14"/>
      <c r="EA326" s="14"/>
      <c r="EB326" s="14"/>
      <c r="EC326" s="14"/>
      <c r="ED326" s="14"/>
      <c r="EE326" s="14"/>
      <c r="EF326" s="14"/>
      <c r="EG326" s="14"/>
      <c r="EH326" s="14"/>
      <c r="EI326" s="14"/>
      <c r="EJ326" s="14"/>
      <c r="EK326" s="14"/>
      <c r="EL326" s="14"/>
      <c r="EM326" s="14"/>
      <c r="EN326" s="14"/>
      <c r="EO326" s="14"/>
      <c r="EP326" s="14"/>
      <c r="EQ326" s="14"/>
      <c r="ER326" s="14"/>
      <c r="ES326" s="14"/>
      <c r="ET326" s="14"/>
      <c r="EU326" s="14"/>
      <c r="EV326" s="14"/>
      <c r="EW326" s="14"/>
      <c r="EX326" s="14"/>
      <c r="EY326" s="14"/>
      <c r="EZ326" s="14"/>
      <c r="FA326" s="14"/>
      <c r="FB326" s="14"/>
      <c r="FC326" s="14"/>
      <c r="FD326" s="14"/>
      <c r="FE326" s="14"/>
      <c r="FF326" s="14"/>
      <c r="FG326" s="14"/>
      <c r="FH326" s="14"/>
      <c r="FI326" s="14"/>
      <c r="FJ326" s="14"/>
      <c r="FK326" s="14"/>
      <c r="FL326" s="14"/>
      <c r="FM326" s="14"/>
      <c r="FN326" s="14"/>
      <c r="FO326" s="14"/>
      <c r="FP326" s="14"/>
      <c r="FQ326" s="14"/>
      <c r="FR326" s="14"/>
      <c r="FS326" s="14"/>
      <c r="FT326" s="14"/>
      <c r="FU326" s="14"/>
      <c r="FV326" s="14"/>
      <c r="FW326" s="14"/>
      <c r="FX326" s="14"/>
      <c r="FY326" s="14"/>
      <c r="FZ326" s="14"/>
      <c r="GA326" s="14"/>
      <c r="GB326" s="14"/>
      <c r="GC326" s="14"/>
      <c r="GD326" s="14"/>
      <c r="GE326" s="14"/>
      <c r="GF326" s="14"/>
      <c r="GG326" s="14"/>
      <c r="GH326" s="14"/>
      <c r="GI326" s="14"/>
      <c r="GJ326" s="14"/>
      <c r="GK326" s="14"/>
      <c r="GL326" s="14"/>
      <c r="GM326" s="14"/>
      <c r="GN326" s="14"/>
      <c r="GO326" s="14"/>
      <c r="GP326" s="14"/>
      <c r="GQ326" s="14"/>
      <c r="GR326" s="14"/>
      <c r="GS326" s="14"/>
      <c r="GT326" s="14"/>
      <c r="GU326" s="14"/>
      <c r="GV326" s="14"/>
      <c r="GW326" s="14"/>
      <c r="GX326" s="14"/>
      <c r="GY326" s="14"/>
      <c r="GZ326" s="14"/>
      <c r="HA326" s="14"/>
      <c r="HB326" s="14"/>
      <c r="HC326" s="14"/>
      <c r="HD326" s="14"/>
      <c r="HE326" s="14"/>
      <c r="HF326" s="14"/>
      <c r="HG326" s="14"/>
      <c r="HH326" s="14"/>
      <c r="HI326" s="14"/>
      <c r="HJ326" s="14"/>
      <c r="HK326" s="14"/>
      <c r="HL326" s="14"/>
      <c r="HM326" s="14"/>
      <c r="HN326" s="14"/>
      <c r="HO326" s="14"/>
      <c r="HP326" s="14"/>
      <c r="HQ326" s="14"/>
      <c r="HR326" s="14"/>
      <c r="HS326" s="14"/>
      <c r="HT326" s="14"/>
      <c r="HU326" s="14"/>
      <c r="HV326" s="14"/>
      <c r="HW326" s="14"/>
      <c r="HX326" s="14"/>
      <c r="HY326" s="14"/>
      <c r="HZ326" s="14"/>
      <c r="IA326" s="14"/>
      <c r="IB326" s="14"/>
      <c r="IC326" s="14"/>
      <c r="ID326" s="14"/>
      <c r="IE326" s="14"/>
      <c r="IF326" s="14"/>
      <c r="IG326" s="14"/>
      <c r="IH326" s="14"/>
      <c r="II326" s="14"/>
      <c r="IJ326" s="14"/>
      <c r="IK326" s="14"/>
      <c r="IL326" s="14"/>
      <c r="IM326" s="14"/>
      <c r="IN326" s="14"/>
      <c r="IO326" s="14"/>
      <c r="IP326" s="14"/>
      <c r="IQ326" s="14"/>
      <c r="IR326" s="14"/>
      <c r="IS326" s="14"/>
      <c r="IT326" s="14"/>
      <c r="IU326" s="14"/>
      <c r="IV326" s="14"/>
    </row>
    <row r="327" spans="1:256" ht="90" customHeight="1" x14ac:dyDescent="0.25">
      <c r="A327" s="67"/>
      <c r="B327" s="68"/>
      <c r="C327" s="25" t="s">
        <v>1062</v>
      </c>
      <c r="D327" s="267" t="s">
        <v>112</v>
      </c>
      <c r="E327" s="27" t="s">
        <v>23</v>
      </c>
      <c r="F327" s="35">
        <v>3.9</v>
      </c>
      <c r="G327" s="464" t="s">
        <v>1063</v>
      </c>
      <c r="H327" s="464"/>
      <c r="I327" s="465"/>
      <c r="J327" s="227"/>
      <c r="K327" s="39"/>
      <c r="L327" s="261">
        <f>J327-K327</f>
        <v>0</v>
      </c>
      <c r="M327" s="251"/>
    </row>
    <row r="328" spans="1:256" ht="38.25" x14ac:dyDescent="0.3">
      <c r="A328" s="69"/>
      <c r="B328" s="8"/>
      <c r="C328" s="82" t="s">
        <v>1291</v>
      </c>
      <c r="D328" s="269" t="s">
        <v>88</v>
      </c>
      <c r="E328" s="8" t="s">
        <v>25</v>
      </c>
      <c r="F328" s="72">
        <f>(0.5*0.5*2.3)*2</f>
        <v>1.1499999999999999</v>
      </c>
      <c r="G328" s="11">
        <v>2828000</v>
      </c>
      <c r="H328" s="45">
        <v>1</v>
      </c>
      <c r="I328" s="31">
        <v>1.1479999999999999</v>
      </c>
      <c r="J328" s="223">
        <f t="shared" ref="J328:J339" si="28">ROUND(F328*G328*H328*I328,-3)</f>
        <v>3734000</v>
      </c>
      <c r="K328" s="39">
        <f t="shared" ref="K328:K390" si="29">ROUND(F328*G328*H328*I328,-3)</f>
        <v>3734000</v>
      </c>
      <c r="L328" s="262">
        <f t="shared" ref="L328:L391" si="30">J328-K328</f>
        <v>0</v>
      </c>
      <c r="M328" s="14"/>
    </row>
    <row r="329" spans="1:256" ht="38.25" x14ac:dyDescent="0.3">
      <c r="A329" s="69"/>
      <c r="B329" s="8"/>
      <c r="C329" s="82" t="s">
        <v>1292</v>
      </c>
      <c r="D329" s="267" t="s">
        <v>26</v>
      </c>
      <c r="E329" s="71" t="s">
        <v>23</v>
      </c>
      <c r="F329" s="72">
        <f>2.6*2.2</f>
        <v>5.7200000000000006</v>
      </c>
      <c r="G329" s="29">
        <v>679000</v>
      </c>
      <c r="H329" s="45">
        <v>1</v>
      </c>
      <c r="I329" s="31">
        <v>1.1479999999999999</v>
      </c>
      <c r="J329" s="223">
        <f t="shared" si="28"/>
        <v>4459000</v>
      </c>
      <c r="K329" s="39">
        <f t="shared" si="29"/>
        <v>4459000</v>
      </c>
      <c r="L329" s="262">
        <f t="shared" si="30"/>
        <v>0</v>
      </c>
      <c r="M329" s="14"/>
    </row>
    <row r="330" spans="1:256" ht="36.75" customHeight="1" x14ac:dyDescent="0.3">
      <c r="A330" s="69"/>
      <c r="B330" s="8"/>
      <c r="C330" s="82" t="s">
        <v>1293</v>
      </c>
      <c r="D330" s="270" t="s">
        <v>101</v>
      </c>
      <c r="E330" s="71" t="s">
        <v>23</v>
      </c>
      <c r="F330" s="72">
        <f>6.6*4.7</f>
        <v>31.02</v>
      </c>
      <c r="G330" s="29">
        <v>339000</v>
      </c>
      <c r="H330" s="45">
        <v>1</v>
      </c>
      <c r="I330" s="31">
        <v>1.1479999999999999</v>
      </c>
      <c r="J330" s="223">
        <f t="shared" si="28"/>
        <v>12072000</v>
      </c>
      <c r="K330" s="39">
        <f t="shared" si="29"/>
        <v>12072000</v>
      </c>
      <c r="L330" s="261">
        <f t="shared" si="30"/>
        <v>0</v>
      </c>
      <c r="M330" s="158"/>
    </row>
    <row r="331" spans="1:256" ht="36.75" customHeight="1" x14ac:dyDescent="0.3">
      <c r="A331" s="69"/>
      <c r="B331" s="8"/>
      <c r="C331" s="82" t="s">
        <v>1294</v>
      </c>
      <c r="D331" s="270" t="s">
        <v>29</v>
      </c>
      <c r="E331" s="27" t="s">
        <v>23</v>
      </c>
      <c r="F331" s="72">
        <f>8*4</f>
        <v>32</v>
      </c>
      <c r="G331" s="29">
        <v>792000</v>
      </c>
      <c r="H331" s="45">
        <v>1</v>
      </c>
      <c r="I331" s="31">
        <v>1.1479999999999999</v>
      </c>
      <c r="J331" s="223">
        <f t="shared" si="28"/>
        <v>29095000</v>
      </c>
      <c r="K331" s="39">
        <f t="shared" si="29"/>
        <v>29095000</v>
      </c>
      <c r="L331" s="261">
        <f t="shared" si="30"/>
        <v>0</v>
      </c>
      <c r="M331" s="14"/>
    </row>
    <row r="332" spans="1:256" ht="38.25" x14ac:dyDescent="0.3">
      <c r="A332" s="69"/>
      <c r="B332" s="8"/>
      <c r="C332" s="82" t="s">
        <v>1295</v>
      </c>
      <c r="D332" s="271" t="s">
        <v>32</v>
      </c>
      <c r="E332" s="27" t="s">
        <v>23</v>
      </c>
      <c r="F332" s="72">
        <f>4*3.6</f>
        <v>14.4</v>
      </c>
      <c r="G332" s="29">
        <v>215000</v>
      </c>
      <c r="H332" s="45">
        <v>0.8</v>
      </c>
      <c r="I332" s="31">
        <v>1.1479999999999999</v>
      </c>
      <c r="J332" s="223">
        <f t="shared" si="28"/>
        <v>2843000</v>
      </c>
      <c r="K332" s="39">
        <f t="shared" si="29"/>
        <v>2843000</v>
      </c>
      <c r="L332" s="261">
        <f t="shared" si="30"/>
        <v>0</v>
      </c>
      <c r="M332" s="14"/>
    </row>
    <row r="333" spans="1:256" ht="37.5" x14ac:dyDescent="0.3">
      <c r="A333" s="69"/>
      <c r="B333" s="8"/>
      <c r="C333" s="82" t="s">
        <v>1296</v>
      </c>
      <c r="D333" s="270" t="s">
        <v>51</v>
      </c>
      <c r="E333" s="27" t="s">
        <v>23</v>
      </c>
      <c r="F333" s="72">
        <f>4.5*4.8</f>
        <v>21.599999999999998</v>
      </c>
      <c r="G333" s="29">
        <v>453000</v>
      </c>
      <c r="H333" s="45">
        <v>1</v>
      </c>
      <c r="I333" s="31">
        <v>1.1479999999999999</v>
      </c>
      <c r="J333" s="223">
        <f t="shared" si="28"/>
        <v>11233000</v>
      </c>
      <c r="K333" s="39">
        <f t="shared" si="29"/>
        <v>11233000</v>
      </c>
      <c r="L333" s="261">
        <f t="shared" si="30"/>
        <v>0</v>
      </c>
      <c r="M333" s="14"/>
    </row>
    <row r="334" spans="1:256" ht="38.25" x14ac:dyDescent="0.3">
      <c r="A334" s="69"/>
      <c r="B334" s="8"/>
      <c r="C334" s="82" t="s">
        <v>1297</v>
      </c>
      <c r="D334" s="273" t="s">
        <v>44</v>
      </c>
      <c r="E334" s="63" t="s">
        <v>45</v>
      </c>
      <c r="F334" s="77">
        <v>6.5</v>
      </c>
      <c r="G334" s="46">
        <v>28000</v>
      </c>
      <c r="H334" s="45">
        <v>1</v>
      </c>
      <c r="I334" s="31">
        <v>1.1479999999999999</v>
      </c>
      <c r="J334" s="223">
        <f t="shared" si="28"/>
        <v>209000</v>
      </c>
      <c r="K334" s="39">
        <f t="shared" si="29"/>
        <v>209000</v>
      </c>
      <c r="L334" s="261">
        <f t="shared" si="30"/>
        <v>0</v>
      </c>
      <c r="M334" s="14"/>
    </row>
    <row r="335" spans="1:256" ht="38.25" x14ac:dyDescent="0.3">
      <c r="A335" s="69"/>
      <c r="B335" s="8"/>
      <c r="C335" s="82" t="s">
        <v>166</v>
      </c>
      <c r="D335" s="271" t="s">
        <v>47</v>
      </c>
      <c r="E335" s="63" t="s">
        <v>45</v>
      </c>
      <c r="F335" s="77">
        <v>6.5</v>
      </c>
      <c r="G335" s="46">
        <v>28000</v>
      </c>
      <c r="H335" s="45">
        <v>1</v>
      </c>
      <c r="I335" s="31">
        <v>1.1479999999999999</v>
      </c>
      <c r="J335" s="223">
        <f t="shared" si="28"/>
        <v>209000</v>
      </c>
      <c r="K335" s="39">
        <f t="shared" si="29"/>
        <v>209000</v>
      </c>
      <c r="L335" s="261">
        <f t="shared" si="30"/>
        <v>0</v>
      </c>
      <c r="M335" s="14"/>
    </row>
    <row r="336" spans="1:256" ht="25.5" x14ac:dyDescent="0.3">
      <c r="A336" s="69"/>
      <c r="B336" s="8"/>
      <c r="C336" s="82" t="s">
        <v>1298</v>
      </c>
      <c r="D336" s="276" t="s">
        <v>41</v>
      </c>
      <c r="E336" s="59" t="s">
        <v>42</v>
      </c>
      <c r="F336" s="98">
        <v>20</v>
      </c>
      <c r="G336" s="11">
        <v>10650</v>
      </c>
      <c r="H336" s="60">
        <v>1</v>
      </c>
      <c r="I336" s="61">
        <v>1</v>
      </c>
      <c r="J336" s="223">
        <f t="shared" si="28"/>
        <v>213000</v>
      </c>
      <c r="K336" s="39">
        <f t="shared" si="29"/>
        <v>213000</v>
      </c>
      <c r="L336" s="261">
        <f t="shared" si="30"/>
        <v>0</v>
      </c>
      <c r="M336" s="14"/>
    </row>
    <row r="337" spans="1:13" ht="38.25" x14ac:dyDescent="0.3">
      <c r="A337" s="69"/>
      <c r="B337" s="8"/>
      <c r="C337" s="82" t="s">
        <v>1299</v>
      </c>
      <c r="D337" s="267" t="s">
        <v>24</v>
      </c>
      <c r="E337" s="27" t="s">
        <v>25</v>
      </c>
      <c r="F337" s="72">
        <f>(0.25*0.25*3.6)*4</f>
        <v>0.9</v>
      </c>
      <c r="G337" s="29">
        <v>2828000</v>
      </c>
      <c r="H337" s="45">
        <v>1</v>
      </c>
      <c r="I337" s="31">
        <v>1.1479999999999999</v>
      </c>
      <c r="J337" s="223">
        <f t="shared" si="28"/>
        <v>2922000</v>
      </c>
      <c r="K337" s="39">
        <f t="shared" si="29"/>
        <v>2922000</v>
      </c>
      <c r="L337" s="261">
        <f t="shared" si="30"/>
        <v>0</v>
      </c>
      <c r="M337" s="14"/>
    </row>
    <row r="338" spans="1:13" ht="39.75" customHeight="1" x14ac:dyDescent="0.3">
      <c r="A338" s="69"/>
      <c r="B338" s="8"/>
      <c r="C338" s="82" t="s">
        <v>1300</v>
      </c>
      <c r="D338" s="270" t="s">
        <v>31</v>
      </c>
      <c r="E338" s="27" t="s">
        <v>23</v>
      </c>
      <c r="F338" s="75">
        <f>2.5*4</f>
        <v>10</v>
      </c>
      <c r="G338" s="29">
        <v>339000</v>
      </c>
      <c r="H338" s="45">
        <v>1</v>
      </c>
      <c r="I338" s="31">
        <v>1.1479999999999999</v>
      </c>
      <c r="J338" s="223">
        <f t="shared" si="28"/>
        <v>3892000</v>
      </c>
      <c r="K338" s="39">
        <f t="shared" si="29"/>
        <v>3892000</v>
      </c>
      <c r="L338" s="261">
        <f t="shared" si="30"/>
        <v>0</v>
      </c>
      <c r="M338" s="14"/>
    </row>
    <row r="339" spans="1:13" ht="39.75" customHeight="1" x14ac:dyDescent="0.3">
      <c r="A339" s="69"/>
      <c r="B339" s="8"/>
      <c r="C339" s="82" t="s">
        <v>1301</v>
      </c>
      <c r="D339" s="270" t="s">
        <v>52</v>
      </c>
      <c r="E339" s="27" t="s">
        <v>23</v>
      </c>
      <c r="F339" s="72">
        <f>4*0.8</f>
        <v>3.2</v>
      </c>
      <c r="G339" s="11" t="s">
        <v>53</v>
      </c>
      <c r="H339" s="45">
        <v>1</v>
      </c>
      <c r="I339" s="79">
        <v>1.1479999999999999</v>
      </c>
      <c r="J339" s="223">
        <f t="shared" si="28"/>
        <v>867000</v>
      </c>
      <c r="K339" s="39">
        <f t="shared" si="29"/>
        <v>867000</v>
      </c>
      <c r="L339" s="261">
        <f t="shared" si="30"/>
        <v>0</v>
      </c>
      <c r="M339" s="14"/>
    </row>
    <row r="340" spans="1:13" s="169" customFormat="1" ht="53.25" customHeight="1" x14ac:dyDescent="0.3">
      <c r="A340" s="149">
        <v>19</v>
      </c>
      <c r="B340" s="150" t="s">
        <v>16</v>
      </c>
      <c r="C340" s="455" t="s">
        <v>1083</v>
      </c>
      <c r="D340" s="456"/>
      <c r="E340" s="456"/>
      <c r="F340" s="456"/>
      <c r="G340" s="456"/>
      <c r="H340" s="456"/>
      <c r="I340" s="457"/>
      <c r="J340" s="221">
        <f>SUM(J341)</f>
        <v>0</v>
      </c>
      <c r="K340" s="39">
        <f t="shared" si="29"/>
        <v>0</v>
      </c>
      <c r="L340" s="261">
        <f t="shared" si="30"/>
        <v>0</v>
      </c>
      <c r="M340" s="24"/>
    </row>
    <row r="341" spans="1:13" ht="90" customHeight="1" x14ac:dyDescent="0.3">
      <c r="A341" s="67"/>
      <c r="B341" s="68"/>
      <c r="C341" s="25" t="s">
        <v>1062</v>
      </c>
      <c r="D341" s="267" t="s">
        <v>112</v>
      </c>
      <c r="E341" s="27" t="s">
        <v>23</v>
      </c>
      <c r="F341" s="35">
        <v>26.2</v>
      </c>
      <c r="G341" s="458" t="s">
        <v>1064</v>
      </c>
      <c r="H341" s="459"/>
      <c r="I341" s="460"/>
      <c r="J341" s="227"/>
      <c r="K341" s="39"/>
      <c r="L341" s="261">
        <f t="shared" si="30"/>
        <v>0</v>
      </c>
      <c r="M341" s="14"/>
    </row>
    <row r="342" spans="1:13" ht="61.5" customHeight="1" x14ac:dyDescent="0.3">
      <c r="A342" s="67" t="s">
        <v>1550</v>
      </c>
      <c r="B342" s="68" t="s">
        <v>16</v>
      </c>
      <c r="C342" s="455" t="s">
        <v>1084</v>
      </c>
      <c r="D342" s="456"/>
      <c r="E342" s="456"/>
      <c r="F342" s="456"/>
      <c r="G342" s="456"/>
      <c r="H342" s="456"/>
      <c r="I342" s="457"/>
      <c r="J342" s="221">
        <f>SUM(J344:J362)</f>
        <v>107590000</v>
      </c>
      <c r="K342" s="39">
        <f t="shared" si="29"/>
        <v>0</v>
      </c>
      <c r="L342" s="261">
        <f t="shared" si="30"/>
        <v>107590000</v>
      </c>
      <c r="M342" s="14"/>
    </row>
    <row r="343" spans="1:13" ht="27" customHeight="1" x14ac:dyDescent="0.3">
      <c r="A343" s="69"/>
      <c r="B343" s="8"/>
      <c r="C343" s="433" t="s">
        <v>1085</v>
      </c>
      <c r="D343" s="434"/>
      <c r="E343" s="434"/>
      <c r="F343" s="466"/>
      <c r="G343" s="434"/>
      <c r="H343" s="434"/>
      <c r="I343" s="467"/>
      <c r="J343" s="223"/>
      <c r="K343" s="39">
        <f t="shared" si="29"/>
        <v>0</v>
      </c>
      <c r="L343" s="261">
        <f t="shared" si="30"/>
        <v>0</v>
      </c>
      <c r="M343" s="14"/>
    </row>
    <row r="344" spans="1:13" ht="72" customHeight="1" x14ac:dyDescent="0.3">
      <c r="A344" s="69"/>
      <c r="B344" s="8"/>
      <c r="C344" s="82" t="s">
        <v>1086</v>
      </c>
      <c r="D344" s="274" t="s">
        <v>113</v>
      </c>
      <c r="E344" s="27" t="s">
        <v>23</v>
      </c>
      <c r="F344" s="89">
        <f>6.4*4.05</f>
        <v>25.92</v>
      </c>
      <c r="G344" s="29">
        <v>3224000</v>
      </c>
      <c r="H344" s="45">
        <v>0.8</v>
      </c>
      <c r="I344" s="102">
        <v>1.1479999999999999</v>
      </c>
      <c r="J344" s="223">
        <f t="shared" ref="J344:J362" si="31">ROUND(F344*G344*H344*I344,-3)</f>
        <v>76747000</v>
      </c>
      <c r="K344" s="39">
        <f t="shared" si="29"/>
        <v>76747000</v>
      </c>
      <c r="L344" s="261">
        <f t="shared" si="30"/>
        <v>0</v>
      </c>
      <c r="M344" s="14"/>
    </row>
    <row r="345" spans="1:13" ht="38.25" x14ac:dyDescent="0.3">
      <c r="A345" s="69"/>
      <c r="B345" s="8"/>
      <c r="C345" s="82" t="s">
        <v>395</v>
      </c>
      <c r="D345" s="270" t="s">
        <v>80</v>
      </c>
      <c r="E345" s="71" t="s">
        <v>23</v>
      </c>
      <c r="F345" s="72">
        <f>4.7*3.75</f>
        <v>17.625</v>
      </c>
      <c r="G345" s="29">
        <v>385000</v>
      </c>
      <c r="H345" s="45">
        <v>0.8</v>
      </c>
      <c r="I345" s="31">
        <v>1.1479999999999999</v>
      </c>
      <c r="J345" s="223">
        <f t="shared" si="31"/>
        <v>6232000</v>
      </c>
      <c r="K345" s="39">
        <f t="shared" si="29"/>
        <v>6232000</v>
      </c>
      <c r="L345" s="261">
        <f t="shared" si="30"/>
        <v>0</v>
      </c>
      <c r="M345" s="14"/>
    </row>
    <row r="346" spans="1:13" ht="37.5" x14ac:dyDescent="0.3">
      <c r="A346" s="69"/>
      <c r="B346" s="8"/>
      <c r="C346" s="82" t="s">
        <v>820</v>
      </c>
      <c r="D346" s="270" t="s">
        <v>29</v>
      </c>
      <c r="E346" s="27" t="s">
        <v>23</v>
      </c>
      <c r="F346" s="89">
        <f>(1.15*2.05)*2</f>
        <v>4.714999999999999</v>
      </c>
      <c r="G346" s="29">
        <v>792000</v>
      </c>
      <c r="H346" s="45">
        <v>0.8</v>
      </c>
      <c r="I346" s="31">
        <v>1.1479999999999999</v>
      </c>
      <c r="J346" s="223">
        <f t="shared" si="31"/>
        <v>3430000</v>
      </c>
      <c r="K346" s="39">
        <f t="shared" si="29"/>
        <v>3430000</v>
      </c>
      <c r="L346" s="261">
        <f t="shared" si="30"/>
        <v>0</v>
      </c>
      <c r="M346" s="14"/>
    </row>
    <row r="347" spans="1:13" ht="37.5" x14ac:dyDescent="0.3">
      <c r="A347" s="69"/>
      <c r="B347" s="8"/>
      <c r="C347" s="82" t="s">
        <v>821</v>
      </c>
      <c r="D347" s="270" t="s">
        <v>66</v>
      </c>
      <c r="E347" s="27" t="s">
        <v>23</v>
      </c>
      <c r="F347" s="72">
        <f>(1.3*2.05)*2</f>
        <v>5.33</v>
      </c>
      <c r="G347" s="29">
        <v>339000</v>
      </c>
      <c r="H347" s="45">
        <v>0.8</v>
      </c>
      <c r="I347" s="31">
        <v>1.1479999999999999</v>
      </c>
      <c r="J347" s="223">
        <f t="shared" si="31"/>
        <v>1659000</v>
      </c>
      <c r="K347" s="39">
        <f t="shared" si="29"/>
        <v>1659000</v>
      </c>
      <c r="L347" s="261">
        <f t="shared" si="30"/>
        <v>0</v>
      </c>
      <c r="M347" s="14"/>
    </row>
    <row r="348" spans="1:13" ht="36.75" customHeight="1" x14ac:dyDescent="0.3">
      <c r="A348" s="69"/>
      <c r="B348" s="8"/>
      <c r="C348" s="82" t="s">
        <v>396</v>
      </c>
      <c r="D348" s="270" t="s">
        <v>66</v>
      </c>
      <c r="E348" s="27" t="s">
        <v>23</v>
      </c>
      <c r="F348" s="89">
        <f>(6*2.1)*2</f>
        <v>25.200000000000003</v>
      </c>
      <c r="G348" s="29">
        <v>339000</v>
      </c>
      <c r="H348" s="45">
        <v>0.8</v>
      </c>
      <c r="I348" s="102">
        <v>1.1479999999999999</v>
      </c>
      <c r="J348" s="223">
        <f t="shared" si="31"/>
        <v>7846000</v>
      </c>
      <c r="K348" s="39">
        <f t="shared" si="29"/>
        <v>7846000</v>
      </c>
      <c r="L348" s="261">
        <f t="shared" si="30"/>
        <v>0</v>
      </c>
      <c r="M348" s="14"/>
    </row>
    <row r="349" spans="1:13" ht="37.5" x14ac:dyDescent="0.3">
      <c r="A349" s="69"/>
      <c r="B349" s="8"/>
      <c r="C349" s="82" t="s">
        <v>397</v>
      </c>
      <c r="D349" s="270" t="s">
        <v>51</v>
      </c>
      <c r="E349" s="27" t="s">
        <v>23</v>
      </c>
      <c r="F349" s="72">
        <f>1.1*4.05</f>
        <v>4.4550000000000001</v>
      </c>
      <c r="G349" s="29">
        <v>453000</v>
      </c>
      <c r="H349" s="45">
        <v>0.8</v>
      </c>
      <c r="I349" s="31">
        <v>1.1479999999999999</v>
      </c>
      <c r="J349" s="223">
        <f t="shared" si="31"/>
        <v>1853000</v>
      </c>
      <c r="K349" s="39">
        <f t="shared" si="29"/>
        <v>1853000</v>
      </c>
      <c r="L349" s="261">
        <f t="shared" si="30"/>
        <v>0</v>
      </c>
      <c r="M349" s="14"/>
    </row>
    <row r="350" spans="1:13" ht="39.75" customHeight="1" x14ac:dyDescent="0.3">
      <c r="A350" s="69"/>
      <c r="B350" s="8"/>
      <c r="C350" s="82" t="s">
        <v>398</v>
      </c>
      <c r="D350" s="270" t="s">
        <v>31</v>
      </c>
      <c r="E350" s="71" t="s">
        <v>23</v>
      </c>
      <c r="F350" s="75">
        <f>4.2*4</f>
        <v>16.8</v>
      </c>
      <c r="G350" s="29">
        <v>339000</v>
      </c>
      <c r="H350" s="45">
        <v>0.8</v>
      </c>
      <c r="I350" s="31">
        <v>1.1479999999999999</v>
      </c>
      <c r="J350" s="223">
        <f t="shared" si="31"/>
        <v>5230000</v>
      </c>
      <c r="K350" s="39">
        <f t="shared" si="29"/>
        <v>5230000</v>
      </c>
      <c r="L350" s="261">
        <f t="shared" si="30"/>
        <v>0</v>
      </c>
      <c r="M350" s="14"/>
    </row>
    <row r="351" spans="1:13" ht="39.75" customHeight="1" x14ac:dyDescent="0.3">
      <c r="A351" s="69"/>
      <c r="B351" s="8"/>
      <c r="C351" s="82" t="s">
        <v>399</v>
      </c>
      <c r="D351" s="270" t="s">
        <v>31</v>
      </c>
      <c r="E351" s="71" t="s">
        <v>23</v>
      </c>
      <c r="F351" s="75">
        <f>1.2*4</f>
        <v>4.8</v>
      </c>
      <c r="G351" s="29">
        <v>339000</v>
      </c>
      <c r="H351" s="45">
        <v>0.8</v>
      </c>
      <c r="I351" s="31">
        <v>1.1479999999999999</v>
      </c>
      <c r="J351" s="223">
        <f t="shared" si="31"/>
        <v>1494000</v>
      </c>
      <c r="K351" s="39">
        <f t="shared" si="29"/>
        <v>1494000</v>
      </c>
      <c r="L351" s="261">
        <f t="shared" si="30"/>
        <v>0</v>
      </c>
      <c r="M351" s="14"/>
    </row>
    <row r="352" spans="1:13" ht="38.25" x14ac:dyDescent="0.3">
      <c r="A352" s="69"/>
      <c r="B352" s="8"/>
      <c r="C352" s="82" t="s">
        <v>400</v>
      </c>
      <c r="D352" s="271" t="s">
        <v>32</v>
      </c>
      <c r="E352" s="96" t="s">
        <v>91</v>
      </c>
      <c r="F352" s="72">
        <f>1.1*4</f>
        <v>4.4000000000000004</v>
      </c>
      <c r="G352" s="29">
        <v>215000</v>
      </c>
      <c r="H352" s="45">
        <v>0.8</v>
      </c>
      <c r="I352" s="79">
        <v>1.1479999999999999</v>
      </c>
      <c r="J352" s="223">
        <f t="shared" si="31"/>
        <v>869000</v>
      </c>
      <c r="K352" s="39">
        <f t="shared" si="29"/>
        <v>869000</v>
      </c>
      <c r="L352" s="261">
        <f t="shared" si="30"/>
        <v>0</v>
      </c>
      <c r="M352" s="14"/>
    </row>
    <row r="353" spans="1:13" ht="25.5" x14ac:dyDescent="0.3">
      <c r="A353" s="69"/>
      <c r="B353" s="8"/>
      <c r="C353" s="82" t="s">
        <v>401</v>
      </c>
      <c r="D353" s="271" t="s">
        <v>864</v>
      </c>
      <c r="E353" s="27" t="s">
        <v>35</v>
      </c>
      <c r="F353" s="98">
        <v>1</v>
      </c>
      <c r="G353" s="29">
        <v>44990</v>
      </c>
      <c r="H353" s="50">
        <v>1</v>
      </c>
      <c r="I353" s="51">
        <v>1</v>
      </c>
      <c r="J353" s="223">
        <f t="shared" si="31"/>
        <v>45000</v>
      </c>
      <c r="K353" s="39">
        <f t="shared" si="29"/>
        <v>45000</v>
      </c>
      <c r="L353" s="261">
        <f t="shared" si="30"/>
        <v>0</v>
      </c>
      <c r="M353" s="158"/>
    </row>
    <row r="354" spans="1:13" ht="25.5" x14ac:dyDescent="0.3">
      <c r="A354" s="69"/>
      <c r="B354" s="8"/>
      <c r="C354" s="82" t="s">
        <v>402</v>
      </c>
      <c r="D354" s="279" t="s">
        <v>825</v>
      </c>
      <c r="E354" s="71" t="s">
        <v>35</v>
      </c>
      <c r="F354" s="98">
        <v>1</v>
      </c>
      <c r="G354" s="29">
        <v>106510</v>
      </c>
      <c r="H354" s="37">
        <v>1</v>
      </c>
      <c r="I354" s="201">
        <v>1</v>
      </c>
      <c r="J354" s="223">
        <f t="shared" si="31"/>
        <v>107000</v>
      </c>
      <c r="K354" s="39">
        <f t="shared" si="29"/>
        <v>107000</v>
      </c>
      <c r="L354" s="261">
        <f t="shared" si="30"/>
        <v>0</v>
      </c>
      <c r="M354" s="14"/>
    </row>
    <row r="355" spans="1:13" ht="37.5" x14ac:dyDescent="0.3">
      <c r="A355" s="69"/>
      <c r="B355" s="8"/>
      <c r="C355" s="82" t="s">
        <v>403</v>
      </c>
      <c r="D355" s="267" t="s">
        <v>95</v>
      </c>
      <c r="E355" s="71" t="s">
        <v>25</v>
      </c>
      <c r="F355" s="72">
        <f>(0.95*0.2*0.25)*6</f>
        <v>0.28500000000000003</v>
      </c>
      <c r="G355" s="11">
        <v>1000000</v>
      </c>
      <c r="H355" s="45">
        <v>0.8</v>
      </c>
      <c r="I355" s="31">
        <v>1.1479999999999999</v>
      </c>
      <c r="J355" s="223">
        <f t="shared" si="31"/>
        <v>262000</v>
      </c>
      <c r="K355" s="39">
        <f t="shared" si="29"/>
        <v>262000</v>
      </c>
      <c r="L355" s="261">
        <f t="shared" si="30"/>
        <v>0</v>
      </c>
      <c r="M355" s="14"/>
    </row>
    <row r="356" spans="1:13" ht="37.5" x14ac:dyDescent="0.3">
      <c r="A356" s="69"/>
      <c r="B356" s="8"/>
      <c r="C356" s="82" t="s">
        <v>404</v>
      </c>
      <c r="D356" s="270" t="s">
        <v>28</v>
      </c>
      <c r="E356" s="27" t="s">
        <v>23</v>
      </c>
      <c r="F356" s="72">
        <f>(0.95*0.2)*10+(0.45*0.4)*2</f>
        <v>2.2599999999999998</v>
      </c>
      <c r="G356" s="11">
        <v>396000</v>
      </c>
      <c r="H356" s="45">
        <v>0.8</v>
      </c>
      <c r="I356" s="31">
        <v>1.1479999999999999</v>
      </c>
      <c r="J356" s="223">
        <f t="shared" si="31"/>
        <v>822000</v>
      </c>
      <c r="K356" s="39">
        <f t="shared" si="29"/>
        <v>822000</v>
      </c>
      <c r="L356" s="261">
        <f t="shared" si="30"/>
        <v>0</v>
      </c>
      <c r="M356" s="14"/>
    </row>
    <row r="357" spans="1:13" ht="37.5" customHeight="1" x14ac:dyDescent="0.3">
      <c r="A357" s="69"/>
      <c r="B357" s="8"/>
      <c r="C357" s="82" t="s">
        <v>405</v>
      </c>
      <c r="D357" s="270" t="s">
        <v>52</v>
      </c>
      <c r="E357" s="27" t="s">
        <v>23</v>
      </c>
      <c r="F357" s="72">
        <f>0.95*0.6</f>
        <v>0.56999999999999995</v>
      </c>
      <c r="G357" s="11" t="s">
        <v>53</v>
      </c>
      <c r="H357" s="45">
        <v>0.8</v>
      </c>
      <c r="I357" s="79">
        <v>1.1479999999999999</v>
      </c>
      <c r="J357" s="223">
        <f t="shared" si="31"/>
        <v>124000</v>
      </c>
      <c r="K357" s="39">
        <f t="shared" si="29"/>
        <v>124000</v>
      </c>
      <c r="L357" s="261">
        <f t="shared" si="30"/>
        <v>0</v>
      </c>
      <c r="M357" s="14"/>
    </row>
    <row r="358" spans="1:13" ht="25.5" x14ac:dyDescent="0.3">
      <c r="A358" s="69"/>
      <c r="B358" s="8"/>
      <c r="C358" s="82" t="s">
        <v>406</v>
      </c>
      <c r="D358" s="279" t="s">
        <v>824</v>
      </c>
      <c r="E358" s="27" t="s">
        <v>35</v>
      </c>
      <c r="F358" s="190">
        <v>50</v>
      </c>
      <c r="G358" s="175">
        <v>3200</v>
      </c>
      <c r="H358" s="50">
        <v>1</v>
      </c>
      <c r="I358" s="51">
        <v>1</v>
      </c>
      <c r="J358" s="229">
        <f t="shared" si="31"/>
        <v>160000</v>
      </c>
      <c r="K358" s="39">
        <f t="shared" si="29"/>
        <v>160000</v>
      </c>
      <c r="L358" s="261">
        <f t="shared" si="30"/>
        <v>0</v>
      </c>
      <c r="M358" s="14"/>
    </row>
    <row r="359" spans="1:13" ht="37.5" x14ac:dyDescent="0.3">
      <c r="A359" s="69"/>
      <c r="B359" s="8"/>
      <c r="C359" s="82" t="s">
        <v>829</v>
      </c>
      <c r="D359" s="270" t="s">
        <v>93</v>
      </c>
      <c r="E359" s="8" t="s">
        <v>25</v>
      </c>
      <c r="F359" s="72">
        <f>(0.7*0.2*0.15)*4</f>
        <v>8.3999999999999991E-2</v>
      </c>
      <c r="G359" s="11">
        <v>1837000</v>
      </c>
      <c r="H359" s="45">
        <v>0.8</v>
      </c>
      <c r="I359" s="79">
        <v>1.1479999999999999</v>
      </c>
      <c r="J359" s="223">
        <f t="shared" si="31"/>
        <v>142000</v>
      </c>
      <c r="K359" s="39">
        <f t="shared" si="29"/>
        <v>142000</v>
      </c>
      <c r="L359" s="261">
        <f t="shared" si="30"/>
        <v>0</v>
      </c>
      <c r="M359" s="14"/>
    </row>
    <row r="360" spans="1:13" ht="38.25" x14ac:dyDescent="0.3">
      <c r="A360" s="69"/>
      <c r="B360" s="8"/>
      <c r="C360" s="82" t="s">
        <v>407</v>
      </c>
      <c r="D360" s="271" t="s">
        <v>47</v>
      </c>
      <c r="E360" s="63" t="s">
        <v>45</v>
      </c>
      <c r="F360" s="77">
        <v>7</v>
      </c>
      <c r="G360" s="46">
        <v>28000</v>
      </c>
      <c r="H360" s="45">
        <v>0.8</v>
      </c>
      <c r="I360" s="31">
        <v>1.1479999999999999</v>
      </c>
      <c r="J360" s="223">
        <f t="shared" si="31"/>
        <v>180000</v>
      </c>
      <c r="K360" s="39">
        <f t="shared" si="29"/>
        <v>180000</v>
      </c>
      <c r="L360" s="261">
        <f t="shared" si="30"/>
        <v>0</v>
      </c>
      <c r="M360" s="14"/>
    </row>
    <row r="361" spans="1:13" ht="38.25" x14ac:dyDescent="0.3">
      <c r="A361" s="69"/>
      <c r="B361" s="8"/>
      <c r="C361" s="82" t="s">
        <v>408</v>
      </c>
      <c r="D361" s="271" t="s">
        <v>47</v>
      </c>
      <c r="E361" s="63" t="s">
        <v>45</v>
      </c>
      <c r="F361" s="98">
        <v>7</v>
      </c>
      <c r="G361" s="46">
        <v>28000</v>
      </c>
      <c r="H361" s="45">
        <v>0.8</v>
      </c>
      <c r="I361" s="31">
        <v>1.1479999999999999</v>
      </c>
      <c r="J361" s="223">
        <f t="shared" si="31"/>
        <v>180000</v>
      </c>
      <c r="K361" s="39">
        <f t="shared" si="29"/>
        <v>180000</v>
      </c>
      <c r="L361" s="261">
        <f t="shared" si="30"/>
        <v>0</v>
      </c>
      <c r="M361" s="14"/>
    </row>
    <row r="362" spans="1:13" ht="39" customHeight="1" x14ac:dyDescent="0.3">
      <c r="A362" s="69"/>
      <c r="B362" s="8"/>
      <c r="C362" s="82" t="s">
        <v>96</v>
      </c>
      <c r="D362" s="270" t="s">
        <v>97</v>
      </c>
      <c r="E362" s="71" t="s">
        <v>98</v>
      </c>
      <c r="F362" s="103">
        <v>1</v>
      </c>
      <c r="G362" s="36">
        <v>226000</v>
      </c>
      <c r="H362" s="45">
        <v>0.8</v>
      </c>
      <c r="I362" s="31">
        <v>1.1479999999999999</v>
      </c>
      <c r="J362" s="223">
        <f t="shared" si="31"/>
        <v>208000</v>
      </c>
      <c r="K362" s="39">
        <f t="shared" si="29"/>
        <v>208000</v>
      </c>
      <c r="L362" s="261">
        <f t="shared" si="30"/>
        <v>0</v>
      </c>
      <c r="M362" s="14"/>
    </row>
    <row r="363" spans="1:13" ht="56.25" customHeight="1" x14ac:dyDescent="0.3">
      <c r="A363" s="149">
        <v>20</v>
      </c>
      <c r="B363" s="150" t="s">
        <v>19</v>
      </c>
      <c r="C363" s="455" t="s">
        <v>1087</v>
      </c>
      <c r="D363" s="456"/>
      <c r="E363" s="456"/>
      <c r="F363" s="456"/>
      <c r="G363" s="456"/>
      <c r="H363" s="456"/>
      <c r="I363" s="457"/>
      <c r="J363" s="221">
        <f>SUM(J364)</f>
        <v>0</v>
      </c>
      <c r="K363" s="39">
        <f t="shared" si="29"/>
        <v>0</v>
      </c>
      <c r="L363" s="261">
        <f t="shared" si="30"/>
        <v>0</v>
      </c>
      <c r="M363" s="24"/>
    </row>
    <row r="364" spans="1:13" ht="90" customHeight="1" x14ac:dyDescent="0.25">
      <c r="A364" s="67"/>
      <c r="B364" s="68"/>
      <c r="C364" s="25" t="s">
        <v>1062</v>
      </c>
      <c r="D364" s="267" t="s">
        <v>112</v>
      </c>
      <c r="E364" s="27" t="s">
        <v>23</v>
      </c>
      <c r="F364" s="35">
        <v>324.89999999999998</v>
      </c>
      <c r="G364" s="464" t="s">
        <v>1063</v>
      </c>
      <c r="H364" s="464"/>
      <c r="I364" s="465"/>
      <c r="J364" s="227"/>
      <c r="K364" s="39"/>
      <c r="L364" s="261">
        <f t="shared" si="30"/>
        <v>0</v>
      </c>
      <c r="M364" s="288">
        <v>321.39999999999998</v>
      </c>
    </row>
    <row r="365" spans="1:13" ht="56.25" customHeight="1" x14ac:dyDescent="0.3">
      <c r="A365" s="149">
        <v>21</v>
      </c>
      <c r="B365" s="150" t="s">
        <v>19</v>
      </c>
      <c r="C365" s="455" t="s">
        <v>1088</v>
      </c>
      <c r="D365" s="456"/>
      <c r="E365" s="456"/>
      <c r="F365" s="456"/>
      <c r="G365" s="456"/>
      <c r="H365" s="456"/>
      <c r="I365" s="457"/>
      <c r="J365" s="221">
        <f>SUM(J366:J393)</f>
        <v>922918000</v>
      </c>
      <c r="K365" s="39">
        <f t="shared" si="29"/>
        <v>0</v>
      </c>
      <c r="L365" s="261">
        <f t="shared" si="30"/>
        <v>922918000</v>
      </c>
      <c r="M365" s="24"/>
    </row>
    <row r="366" spans="1:13" ht="27" customHeight="1" x14ac:dyDescent="0.3">
      <c r="A366" s="69"/>
      <c r="B366" s="8"/>
      <c r="C366" s="433" t="s">
        <v>1089</v>
      </c>
      <c r="D366" s="434"/>
      <c r="E366" s="434"/>
      <c r="F366" s="466"/>
      <c r="G366" s="434"/>
      <c r="H366" s="434"/>
      <c r="I366" s="467"/>
      <c r="J366" s="223"/>
      <c r="K366" s="39">
        <f t="shared" si="29"/>
        <v>0</v>
      </c>
      <c r="L366" s="261">
        <f t="shared" si="30"/>
        <v>0</v>
      </c>
      <c r="M366" s="14"/>
    </row>
    <row r="367" spans="1:13" ht="83.25" customHeight="1" x14ac:dyDescent="0.3">
      <c r="A367" s="69"/>
      <c r="B367" s="8"/>
      <c r="C367" s="82" t="s">
        <v>822</v>
      </c>
      <c r="D367" s="269" t="s">
        <v>435</v>
      </c>
      <c r="E367" s="27" t="s">
        <v>23</v>
      </c>
      <c r="F367" s="72">
        <f>8.7*4.27</f>
        <v>37.148999999999994</v>
      </c>
      <c r="G367" s="29">
        <v>3371000</v>
      </c>
      <c r="H367" s="45">
        <v>0.8</v>
      </c>
      <c r="I367" s="102">
        <v>1.1479999999999999</v>
      </c>
      <c r="J367" s="223">
        <f t="shared" ref="J367:J393" si="32">ROUND(F367*G367*H367*I367,-3)</f>
        <v>115011000</v>
      </c>
      <c r="K367" s="39">
        <f t="shared" si="29"/>
        <v>115011000</v>
      </c>
      <c r="L367" s="261">
        <f t="shared" si="30"/>
        <v>0</v>
      </c>
      <c r="M367" s="14"/>
    </row>
    <row r="368" spans="1:13" ht="38.25" x14ac:dyDescent="0.3">
      <c r="A368" s="69"/>
      <c r="B368" s="8"/>
      <c r="C368" s="82" t="s">
        <v>409</v>
      </c>
      <c r="D368" s="270" t="s">
        <v>80</v>
      </c>
      <c r="E368" s="71" t="s">
        <v>23</v>
      </c>
      <c r="F368" s="72">
        <f>8.4*3.9</f>
        <v>32.76</v>
      </c>
      <c r="G368" s="29">
        <v>385000</v>
      </c>
      <c r="H368" s="45">
        <v>0.8</v>
      </c>
      <c r="I368" s="31">
        <v>1.1479999999999999</v>
      </c>
      <c r="J368" s="223">
        <f t="shared" si="32"/>
        <v>11583000</v>
      </c>
      <c r="K368" s="39">
        <f t="shared" si="29"/>
        <v>11583000</v>
      </c>
      <c r="L368" s="261">
        <f t="shared" si="30"/>
        <v>0</v>
      </c>
      <c r="M368" s="14"/>
    </row>
    <row r="369" spans="1:13" ht="38.25" x14ac:dyDescent="0.3">
      <c r="A369" s="69"/>
      <c r="B369" s="8"/>
      <c r="C369" s="82" t="s">
        <v>1044</v>
      </c>
      <c r="D369" s="271" t="s">
        <v>32</v>
      </c>
      <c r="E369" s="96" t="s">
        <v>91</v>
      </c>
      <c r="F369" s="72">
        <f>3.97*4.1</f>
        <v>16.277000000000001</v>
      </c>
      <c r="G369" s="29">
        <v>215000</v>
      </c>
      <c r="H369" s="45">
        <v>0.8</v>
      </c>
      <c r="I369" s="79">
        <v>1.1479999999999999</v>
      </c>
      <c r="J369" s="223">
        <f t="shared" si="32"/>
        <v>3214000</v>
      </c>
      <c r="K369" s="39">
        <f t="shared" si="29"/>
        <v>3214000</v>
      </c>
      <c r="L369" s="261">
        <f t="shared" si="30"/>
        <v>0</v>
      </c>
      <c r="M369" s="158"/>
    </row>
    <row r="370" spans="1:13" ht="36.75" customHeight="1" x14ac:dyDescent="0.3">
      <c r="A370" s="69"/>
      <c r="B370" s="8"/>
      <c r="C370" s="82" t="s">
        <v>410</v>
      </c>
      <c r="D370" s="270" t="s">
        <v>66</v>
      </c>
      <c r="E370" s="27" t="s">
        <v>23</v>
      </c>
      <c r="F370" s="72">
        <f>0.9*1.1+0.9*2.1</f>
        <v>2.8800000000000003</v>
      </c>
      <c r="G370" s="29">
        <v>339000</v>
      </c>
      <c r="H370" s="45">
        <v>0.8</v>
      </c>
      <c r="I370" s="31">
        <v>1.1479999999999999</v>
      </c>
      <c r="J370" s="223">
        <f t="shared" si="32"/>
        <v>897000</v>
      </c>
      <c r="K370" s="39">
        <f t="shared" si="29"/>
        <v>897000</v>
      </c>
      <c r="L370" s="261">
        <f t="shared" si="30"/>
        <v>0</v>
      </c>
      <c r="M370" s="14"/>
    </row>
    <row r="371" spans="1:13" ht="36.75" customHeight="1" x14ac:dyDescent="0.3">
      <c r="A371" s="69"/>
      <c r="B371" s="8"/>
      <c r="C371" s="82" t="s">
        <v>411</v>
      </c>
      <c r="D371" s="270" t="s">
        <v>28</v>
      </c>
      <c r="E371" s="27" t="s">
        <v>23</v>
      </c>
      <c r="F371" s="72">
        <f>(1.4*3.5)*2</f>
        <v>9.7999999999999989</v>
      </c>
      <c r="G371" s="11">
        <v>396000</v>
      </c>
      <c r="H371" s="45">
        <v>0.8</v>
      </c>
      <c r="I371" s="31">
        <v>1.1479999999999999</v>
      </c>
      <c r="J371" s="223">
        <f t="shared" si="32"/>
        <v>3564000</v>
      </c>
      <c r="K371" s="39">
        <f t="shared" si="29"/>
        <v>3564000</v>
      </c>
      <c r="L371" s="261">
        <f t="shared" si="30"/>
        <v>0</v>
      </c>
      <c r="M371" s="14"/>
    </row>
    <row r="372" spans="1:13" ht="36.75" customHeight="1" x14ac:dyDescent="0.3">
      <c r="A372" s="69"/>
      <c r="B372" s="8"/>
      <c r="C372" s="82" t="s">
        <v>108</v>
      </c>
      <c r="D372" s="276" t="s">
        <v>41</v>
      </c>
      <c r="E372" s="59" t="s">
        <v>42</v>
      </c>
      <c r="F372" s="98">
        <v>10</v>
      </c>
      <c r="G372" s="11">
        <v>5330</v>
      </c>
      <c r="H372" s="60">
        <v>1</v>
      </c>
      <c r="I372" s="61">
        <v>1</v>
      </c>
      <c r="J372" s="223">
        <f t="shared" si="32"/>
        <v>53000</v>
      </c>
      <c r="K372" s="39">
        <f t="shared" si="29"/>
        <v>53000</v>
      </c>
      <c r="L372" s="261">
        <f t="shared" si="30"/>
        <v>0</v>
      </c>
      <c r="M372" s="14"/>
    </row>
    <row r="373" spans="1:13" ht="38.25" x14ac:dyDescent="0.3">
      <c r="A373" s="69"/>
      <c r="B373" s="8"/>
      <c r="C373" s="82" t="s">
        <v>412</v>
      </c>
      <c r="D373" s="267" t="s">
        <v>24</v>
      </c>
      <c r="E373" s="8" t="s">
        <v>25</v>
      </c>
      <c r="F373" s="72">
        <f>(0.5*8.7*0.05)</f>
        <v>0.2175</v>
      </c>
      <c r="G373" s="29">
        <v>2828000</v>
      </c>
      <c r="H373" s="45">
        <v>0.8</v>
      </c>
      <c r="I373" s="31">
        <v>1.1479999999999999</v>
      </c>
      <c r="J373" s="223">
        <f t="shared" si="32"/>
        <v>565000</v>
      </c>
      <c r="K373" s="39">
        <f t="shared" si="29"/>
        <v>565000</v>
      </c>
      <c r="L373" s="261">
        <f t="shared" si="30"/>
        <v>0</v>
      </c>
      <c r="M373" s="14"/>
    </row>
    <row r="374" spans="1:13" ht="37.5" x14ac:dyDescent="0.3">
      <c r="A374" s="69"/>
      <c r="B374" s="8"/>
      <c r="C374" s="82" t="s">
        <v>831</v>
      </c>
      <c r="D374" s="270" t="s">
        <v>51</v>
      </c>
      <c r="E374" s="27" t="s">
        <v>23</v>
      </c>
      <c r="F374" s="72">
        <f>4.27*0.5</f>
        <v>2.1349999999999998</v>
      </c>
      <c r="G374" s="29">
        <v>453000</v>
      </c>
      <c r="H374" s="45">
        <v>0.8</v>
      </c>
      <c r="I374" s="31">
        <v>1.1479999999999999</v>
      </c>
      <c r="J374" s="223">
        <f t="shared" si="32"/>
        <v>888000</v>
      </c>
      <c r="K374" s="39">
        <f t="shared" si="29"/>
        <v>888000</v>
      </c>
      <c r="L374" s="261">
        <f t="shared" si="30"/>
        <v>0</v>
      </c>
      <c r="M374" s="14"/>
    </row>
    <row r="375" spans="1:13" ht="25.5" x14ac:dyDescent="0.3">
      <c r="A375" s="69"/>
      <c r="B375" s="8"/>
      <c r="C375" s="82" t="s">
        <v>413</v>
      </c>
      <c r="D375" s="280" t="s">
        <v>92</v>
      </c>
      <c r="E375" s="27" t="s">
        <v>35</v>
      </c>
      <c r="F375" s="98">
        <v>1</v>
      </c>
      <c r="G375" s="29">
        <v>28120</v>
      </c>
      <c r="H375" s="50">
        <v>1</v>
      </c>
      <c r="I375" s="51">
        <v>1</v>
      </c>
      <c r="J375" s="223">
        <f t="shared" si="32"/>
        <v>28000</v>
      </c>
      <c r="K375" s="39">
        <f t="shared" si="29"/>
        <v>28000</v>
      </c>
      <c r="L375" s="261">
        <f t="shared" si="30"/>
        <v>0</v>
      </c>
      <c r="M375" s="14"/>
    </row>
    <row r="376" spans="1:13" ht="25.5" x14ac:dyDescent="0.3">
      <c r="A376" s="69"/>
      <c r="B376" s="8"/>
      <c r="C376" s="82" t="s">
        <v>414</v>
      </c>
      <c r="D376" s="271" t="s">
        <v>864</v>
      </c>
      <c r="E376" s="27" t="s">
        <v>35</v>
      </c>
      <c r="F376" s="98">
        <v>1</v>
      </c>
      <c r="G376" s="29">
        <v>44990</v>
      </c>
      <c r="H376" s="50">
        <v>1</v>
      </c>
      <c r="I376" s="51">
        <v>1</v>
      </c>
      <c r="J376" s="223">
        <f t="shared" si="32"/>
        <v>45000</v>
      </c>
      <c r="K376" s="39">
        <f t="shared" si="29"/>
        <v>45000</v>
      </c>
      <c r="L376" s="261">
        <f t="shared" si="30"/>
        <v>0</v>
      </c>
      <c r="M376" s="14"/>
    </row>
    <row r="377" spans="1:13" ht="56.25" x14ac:dyDescent="0.3">
      <c r="A377" s="69"/>
      <c r="B377" s="8"/>
      <c r="C377" s="82" t="s">
        <v>1092</v>
      </c>
      <c r="D377" s="274"/>
      <c r="E377" s="27"/>
      <c r="F377" s="75"/>
      <c r="G377" s="29"/>
      <c r="H377" s="45"/>
      <c r="I377" s="102"/>
      <c r="J377" s="223"/>
      <c r="K377" s="39">
        <f t="shared" si="29"/>
        <v>0</v>
      </c>
      <c r="L377" s="261">
        <f t="shared" si="30"/>
        <v>0</v>
      </c>
      <c r="M377" s="14"/>
    </row>
    <row r="378" spans="1:13" ht="30.75" customHeight="1" x14ac:dyDescent="0.3">
      <c r="A378" s="69"/>
      <c r="B378" s="8"/>
      <c r="C378" s="82" t="s">
        <v>1093</v>
      </c>
      <c r="D378" s="274" t="s">
        <v>87</v>
      </c>
      <c r="E378" s="27" t="s">
        <v>23</v>
      </c>
      <c r="F378" s="75">
        <f>7.1*5.2+7.1*5.2</f>
        <v>73.84</v>
      </c>
      <c r="G378" s="29">
        <f>5339000</f>
        <v>5339000</v>
      </c>
      <c r="H378" s="45">
        <v>0.8</v>
      </c>
      <c r="I378" s="102">
        <v>1.1479999999999999</v>
      </c>
      <c r="J378" s="223">
        <f>ROUND(F378*G378*H378*I378,-3)</f>
        <v>362062000</v>
      </c>
      <c r="K378" s="39">
        <f t="shared" si="29"/>
        <v>362062000</v>
      </c>
      <c r="L378" s="261">
        <f t="shared" si="30"/>
        <v>0</v>
      </c>
      <c r="M378" s="14"/>
    </row>
    <row r="379" spans="1:13" ht="37.5" x14ac:dyDescent="0.3">
      <c r="A379" s="69"/>
      <c r="B379" s="8"/>
      <c r="C379" s="82" t="s">
        <v>1094</v>
      </c>
      <c r="D379" s="274" t="s">
        <v>87</v>
      </c>
      <c r="E379" s="27" t="s">
        <v>23</v>
      </c>
      <c r="F379" s="75">
        <f>7.1*5.2+7.1*5.2</f>
        <v>73.84</v>
      </c>
      <c r="G379" s="29">
        <f>5339000-99000</f>
        <v>5240000</v>
      </c>
      <c r="H379" s="45">
        <v>0.8</v>
      </c>
      <c r="I379" s="102">
        <v>1.1479999999999999</v>
      </c>
      <c r="J379" s="223">
        <f>ROUND(F379*G379*H379*I379,-3)</f>
        <v>355349000</v>
      </c>
      <c r="K379" s="39">
        <f t="shared" si="29"/>
        <v>355349000</v>
      </c>
      <c r="L379" s="261">
        <f t="shared" si="30"/>
        <v>0</v>
      </c>
      <c r="M379" s="14"/>
    </row>
    <row r="380" spans="1:13" s="169" customFormat="1" ht="25.5" x14ac:dyDescent="0.3">
      <c r="A380" s="93"/>
      <c r="B380" s="94"/>
      <c r="C380" s="70" t="s">
        <v>1090</v>
      </c>
      <c r="D380" s="274" t="s">
        <v>87</v>
      </c>
      <c r="E380" s="22" t="s">
        <v>25</v>
      </c>
      <c r="F380" s="199">
        <f>0.8*5.2*0.1</f>
        <v>0.41600000000000004</v>
      </c>
      <c r="G380" s="29">
        <f>5339000-99000</f>
        <v>5240000</v>
      </c>
      <c r="H380" s="45">
        <v>0.8</v>
      </c>
      <c r="I380" s="102">
        <v>1.1479999999999999</v>
      </c>
      <c r="J380" s="223">
        <f t="shared" si="32"/>
        <v>2002000</v>
      </c>
      <c r="K380" s="39">
        <f t="shared" si="29"/>
        <v>2002000</v>
      </c>
      <c r="L380" s="261">
        <f t="shared" si="30"/>
        <v>0</v>
      </c>
      <c r="M380" s="24"/>
    </row>
    <row r="381" spans="1:13" s="169" customFormat="1" ht="37.5" x14ac:dyDescent="0.3">
      <c r="A381" s="93"/>
      <c r="B381" s="94"/>
      <c r="C381" s="70" t="s">
        <v>1091</v>
      </c>
      <c r="D381" s="274" t="s">
        <v>87</v>
      </c>
      <c r="E381" s="22" t="s">
        <v>25</v>
      </c>
      <c r="F381" s="199">
        <f>0.8*5.2*0.1+0.5*0.1*7.9</f>
        <v>0.81100000000000005</v>
      </c>
      <c r="G381" s="29">
        <f>5339000-99000</f>
        <v>5240000</v>
      </c>
      <c r="H381" s="45">
        <v>0.8</v>
      </c>
      <c r="I381" s="102">
        <v>1.1479999999999999</v>
      </c>
      <c r="J381" s="223">
        <f>ROUND(F381*G381*H381*I381,-3)</f>
        <v>3903000</v>
      </c>
      <c r="K381" s="39">
        <f t="shared" si="29"/>
        <v>3903000</v>
      </c>
      <c r="L381" s="261">
        <f t="shared" si="30"/>
        <v>0</v>
      </c>
      <c r="M381" s="24"/>
    </row>
    <row r="382" spans="1:13" ht="36" customHeight="1" x14ac:dyDescent="0.3">
      <c r="A382" s="69"/>
      <c r="B382" s="8"/>
      <c r="C382" s="82" t="s">
        <v>415</v>
      </c>
      <c r="D382" s="270" t="s">
        <v>52</v>
      </c>
      <c r="E382" s="71" t="s">
        <v>23</v>
      </c>
      <c r="F382" s="72">
        <f>(6.7*4.8)*2</f>
        <v>64.319999999999993</v>
      </c>
      <c r="G382" s="11" t="s">
        <v>53</v>
      </c>
      <c r="H382" s="45">
        <v>0.8</v>
      </c>
      <c r="I382" s="31">
        <v>1.1479999999999999</v>
      </c>
      <c r="J382" s="223">
        <f t="shared" si="32"/>
        <v>13941000</v>
      </c>
      <c r="K382" s="39">
        <f t="shared" si="29"/>
        <v>13941000</v>
      </c>
      <c r="L382" s="261">
        <f t="shared" si="30"/>
        <v>0</v>
      </c>
      <c r="M382" s="14"/>
    </row>
    <row r="383" spans="1:13" ht="36" customHeight="1" x14ac:dyDescent="0.3">
      <c r="A383" s="69"/>
      <c r="B383" s="8"/>
      <c r="C383" s="82" t="s">
        <v>416</v>
      </c>
      <c r="D383" s="270" t="s">
        <v>66</v>
      </c>
      <c r="E383" s="27" t="s">
        <v>23</v>
      </c>
      <c r="F383" s="72">
        <f>2.6*12.5</f>
        <v>32.5</v>
      </c>
      <c r="G383" s="29">
        <v>339000</v>
      </c>
      <c r="H383" s="45">
        <v>0.8</v>
      </c>
      <c r="I383" s="31">
        <v>1.1479999999999999</v>
      </c>
      <c r="J383" s="223">
        <f t="shared" si="32"/>
        <v>10118000</v>
      </c>
      <c r="K383" s="39">
        <f t="shared" si="29"/>
        <v>10118000</v>
      </c>
      <c r="L383" s="261">
        <f t="shared" si="30"/>
        <v>0</v>
      </c>
      <c r="M383" s="14"/>
    </row>
    <row r="384" spans="1:13" ht="36" customHeight="1" x14ac:dyDescent="0.3">
      <c r="A384" s="69"/>
      <c r="B384" s="8"/>
      <c r="C384" s="82" t="s">
        <v>417</v>
      </c>
      <c r="D384" s="270" t="s">
        <v>66</v>
      </c>
      <c r="E384" s="27" t="s">
        <v>23</v>
      </c>
      <c r="F384" s="89">
        <f>3.4*16.25</f>
        <v>55.25</v>
      </c>
      <c r="G384" s="29">
        <v>339000</v>
      </c>
      <c r="H384" s="45">
        <v>0.8</v>
      </c>
      <c r="I384" s="102">
        <v>1.1479999999999999</v>
      </c>
      <c r="J384" s="223">
        <f t="shared" si="32"/>
        <v>17201000</v>
      </c>
      <c r="K384" s="39">
        <f t="shared" si="29"/>
        <v>17201000</v>
      </c>
      <c r="L384" s="261">
        <f t="shared" si="30"/>
        <v>0</v>
      </c>
      <c r="M384" s="14"/>
    </row>
    <row r="385" spans="1:13" ht="36" customHeight="1" x14ac:dyDescent="0.3">
      <c r="A385" s="69"/>
      <c r="B385" s="8"/>
      <c r="C385" s="82" t="s">
        <v>37</v>
      </c>
      <c r="D385" s="278" t="s">
        <v>38</v>
      </c>
      <c r="E385" s="141" t="s">
        <v>39</v>
      </c>
      <c r="F385" s="98">
        <v>1</v>
      </c>
      <c r="G385" s="145">
        <v>1018000</v>
      </c>
      <c r="H385" s="45">
        <v>0.8</v>
      </c>
      <c r="I385" s="146">
        <v>1.1479999999999999</v>
      </c>
      <c r="J385" s="226">
        <f t="shared" si="32"/>
        <v>935000</v>
      </c>
      <c r="K385" s="39">
        <f t="shared" si="29"/>
        <v>935000</v>
      </c>
      <c r="L385" s="261">
        <f t="shared" si="30"/>
        <v>0</v>
      </c>
      <c r="M385" s="14"/>
    </row>
    <row r="386" spans="1:13" ht="36" customHeight="1" x14ac:dyDescent="0.3">
      <c r="A386" s="69"/>
      <c r="B386" s="8"/>
      <c r="C386" s="82" t="s">
        <v>832</v>
      </c>
      <c r="D386" s="270" t="s">
        <v>51</v>
      </c>
      <c r="E386" s="27" t="s">
        <v>23</v>
      </c>
      <c r="F386" s="72">
        <f>3.15*5.2</f>
        <v>16.38</v>
      </c>
      <c r="G386" s="29">
        <v>453000</v>
      </c>
      <c r="H386" s="45">
        <v>0.8</v>
      </c>
      <c r="I386" s="31">
        <v>1.1479999999999999</v>
      </c>
      <c r="J386" s="223">
        <f t="shared" si="32"/>
        <v>6815000</v>
      </c>
      <c r="K386" s="39">
        <f t="shared" si="29"/>
        <v>6815000</v>
      </c>
      <c r="L386" s="261">
        <f t="shared" si="30"/>
        <v>0</v>
      </c>
      <c r="M386" s="14"/>
    </row>
    <row r="387" spans="1:13" ht="36" customHeight="1" x14ac:dyDescent="0.3">
      <c r="A387" s="69"/>
      <c r="B387" s="8"/>
      <c r="C387" s="82" t="s">
        <v>418</v>
      </c>
      <c r="D387" s="270" t="s">
        <v>66</v>
      </c>
      <c r="E387" s="27" t="s">
        <v>23</v>
      </c>
      <c r="F387" s="89">
        <f>0.5*3</f>
        <v>1.5</v>
      </c>
      <c r="G387" s="29">
        <v>339000</v>
      </c>
      <c r="H387" s="45">
        <v>0.8</v>
      </c>
      <c r="I387" s="31">
        <v>1.1479999999999999</v>
      </c>
      <c r="J387" s="223">
        <f t="shared" si="32"/>
        <v>467000</v>
      </c>
      <c r="K387" s="39">
        <f t="shared" si="29"/>
        <v>467000</v>
      </c>
      <c r="L387" s="261">
        <f t="shared" si="30"/>
        <v>0</v>
      </c>
      <c r="M387" s="14"/>
    </row>
    <row r="388" spans="1:13" ht="36" customHeight="1" x14ac:dyDescent="0.3">
      <c r="A388" s="69"/>
      <c r="B388" s="8"/>
      <c r="C388" s="82" t="s">
        <v>419</v>
      </c>
      <c r="D388" s="270" t="s">
        <v>29</v>
      </c>
      <c r="E388" s="27" t="s">
        <v>23</v>
      </c>
      <c r="F388" s="89">
        <f>3*2.5</f>
        <v>7.5</v>
      </c>
      <c r="G388" s="29">
        <v>792000</v>
      </c>
      <c r="H388" s="45">
        <v>0.8</v>
      </c>
      <c r="I388" s="31">
        <v>1.1479999999999999</v>
      </c>
      <c r="J388" s="223">
        <f t="shared" si="32"/>
        <v>5455000</v>
      </c>
      <c r="K388" s="39">
        <f t="shared" si="29"/>
        <v>5455000</v>
      </c>
      <c r="L388" s="261">
        <f t="shared" si="30"/>
        <v>0</v>
      </c>
      <c r="M388" s="14"/>
    </row>
    <row r="389" spans="1:13" ht="36" customHeight="1" x14ac:dyDescent="0.3">
      <c r="A389" s="69"/>
      <c r="B389" s="8"/>
      <c r="C389" s="82" t="s">
        <v>420</v>
      </c>
      <c r="D389" s="271" t="s">
        <v>32</v>
      </c>
      <c r="E389" s="96" t="s">
        <v>91</v>
      </c>
      <c r="F389" s="72">
        <f>4.9*3.97</f>
        <v>19.453000000000003</v>
      </c>
      <c r="G389" s="29">
        <v>215000</v>
      </c>
      <c r="H389" s="45">
        <v>0.8</v>
      </c>
      <c r="I389" s="79">
        <v>1.1479999999999999</v>
      </c>
      <c r="J389" s="223">
        <f t="shared" si="32"/>
        <v>3841000</v>
      </c>
      <c r="K389" s="39">
        <f t="shared" si="29"/>
        <v>3841000</v>
      </c>
      <c r="L389" s="261">
        <f t="shared" si="30"/>
        <v>0</v>
      </c>
      <c r="M389" s="158"/>
    </row>
    <row r="390" spans="1:13" ht="37.5" x14ac:dyDescent="0.3">
      <c r="A390" s="69"/>
      <c r="B390" s="8"/>
      <c r="C390" s="82" t="s">
        <v>421</v>
      </c>
      <c r="D390" s="270" t="s">
        <v>101</v>
      </c>
      <c r="E390" s="71" t="s">
        <v>23</v>
      </c>
      <c r="F390" s="72">
        <f>4.8*2.85</f>
        <v>13.68</v>
      </c>
      <c r="G390" s="29">
        <v>339000</v>
      </c>
      <c r="H390" s="45">
        <v>0.8</v>
      </c>
      <c r="I390" s="31">
        <v>1.1479999999999999</v>
      </c>
      <c r="J390" s="223">
        <f t="shared" si="32"/>
        <v>4259000</v>
      </c>
      <c r="K390" s="39">
        <f t="shared" si="29"/>
        <v>4259000</v>
      </c>
      <c r="L390" s="261">
        <f t="shared" si="30"/>
        <v>0</v>
      </c>
      <c r="M390" s="14"/>
    </row>
    <row r="391" spans="1:13" ht="38.25" x14ac:dyDescent="0.3">
      <c r="A391" s="69"/>
      <c r="B391" s="8"/>
      <c r="C391" s="82" t="s">
        <v>422</v>
      </c>
      <c r="D391" s="273" t="s">
        <v>44</v>
      </c>
      <c r="E391" s="63" t="s">
        <v>45</v>
      </c>
      <c r="F391" s="72">
        <v>10</v>
      </c>
      <c r="G391" s="46">
        <v>28000</v>
      </c>
      <c r="H391" s="45">
        <v>0.8</v>
      </c>
      <c r="I391" s="31">
        <v>1.1479999999999999</v>
      </c>
      <c r="J391" s="223">
        <f t="shared" si="32"/>
        <v>257000</v>
      </c>
      <c r="K391" s="39">
        <f t="shared" ref="K391:K454" si="33">ROUND(F391*G391*H391*I391,-3)</f>
        <v>257000</v>
      </c>
      <c r="L391" s="261">
        <f t="shared" si="30"/>
        <v>0</v>
      </c>
      <c r="M391" s="14"/>
    </row>
    <row r="392" spans="1:13" ht="38.25" x14ac:dyDescent="0.3">
      <c r="A392" s="69"/>
      <c r="B392" s="8"/>
      <c r="C392" s="82" t="s">
        <v>111</v>
      </c>
      <c r="D392" s="271" t="s">
        <v>47</v>
      </c>
      <c r="E392" s="63" t="s">
        <v>45</v>
      </c>
      <c r="F392" s="77">
        <v>10</v>
      </c>
      <c r="G392" s="46">
        <v>28000</v>
      </c>
      <c r="H392" s="45">
        <v>0.8</v>
      </c>
      <c r="I392" s="31">
        <v>1.1479999999999999</v>
      </c>
      <c r="J392" s="223">
        <f t="shared" si="32"/>
        <v>257000</v>
      </c>
      <c r="K392" s="39">
        <f t="shared" si="33"/>
        <v>257000</v>
      </c>
      <c r="L392" s="261">
        <f t="shared" ref="L392:L455" si="34">J392-K392</f>
        <v>0</v>
      </c>
      <c r="M392" s="14"/>
    </row>
    <row r="393" spans="1:13" ht="38.25" customHeight="1" x14ac:dyDescent="0.3">
      <c r="A393" s="69"/>
      <c r="B393" s="8"/>
      <c r="C393" s="82" t="s">
        <v>96</v>
      </c>
      <c r="D393" s="270" t="s">
        <v>97</v>
      </c>
      <c r="E393" s="71" t="s">
        <v>98</v>
      </c>
      <c r="F393" s="103">
        <v>1</v>
      </c>
      <c r="G393" s="36">
        <v>226000</v>
      </c>
      <c r="H393" s="45">
        <v>0.8</v>
      </c>
      <c r="I393" s="31">
        <v>1.1479999999999999</v>
      </c>
      <c r="J393" s="223">
        <f t="shared" si="32"/>
        <v>208000</v>
      </c>
      <c r="K393" s="39">
        <f t="shared" si="33"/>
        <v>208000</v>
      </c>
      <c r="L393" s="261">
        <f t="shared" si="34"/>
        <v>0</v>
      </c>
      <c r="M393" s="14"/>
    </row>
    <row r="394" spans="1:13" ht="45.75" customHeight="1" x14ac:dyDescent="0.3">
      <c r="A394" s="149">
        <v>22</v>
      </c>
      <c r="B394" s="150" t="s">
        <v>19</v>
      </c>
      <c r="C394" s="455" t="s">
        <v>1095</v>
      </c>
      <c r="D394" s="456"/>
      <c r="E394" s="456"/>
      <c r="F394" s="456"/>
      <c r="G394" s="456"/>
      <c r="H394" s="456"/>
      <c r="I394" s="457"/>
      <c r="J394" s="221">
        <f>SUM(J395:J410)</f>
        <v>306573000</v>
      </c>
      <c r="K394" s="39">
        <f t="shared" si="33"/>
        <v>0</v>
      </c>
      <c r="L394" s="261">
        <f t="shared" si="34"/>
        <v>306573000</v>
      </c>
      <c r="M394" s="24"/>
    </row>
    <row r="395" spans="1:13" ht="27" customHeight="1" x14ac:dyDescent="0.3">
      <c r="A395" s="69"/>
      <c r="B395" s="8"/>
      <c r="C395" s="433" t="s">
        <v>1089</v>
      </c>
      <c r="D395" s="434"/>
      <c r="E395" s="434"/>
      <c r="F395" s="466"/>
      <c r="G395" s="434"/>
      <c r="H395" s="434"/>
      <c r="I395" s="467"/>
      <c r="J395" s="223"/>
      <c r="K395" s="39">
        <f t="shared" si="33"/>
        <v>0</v>
      </c>
      <c r="L395" s="261">
        <f t="shared" si="34"/>
        <v>0</v>
      </c>
      <c r="M395" s="14"/>
    </row>
    <row r="396" spans="1:13" ht="72" customHeight="1" x14ac:dyDescent="0.3">
      <c r="A396" s="69"/>
      <c r="B396" s="8"/>
      <c r="C396" s="82" t="s">
        <v>423</v>
      </c>
      <c r="D396" s="274" t="s">
        <v>148</v>
      </c>
      <c r="E396" s="27" t="s">
        <v>23</v>
      </c>
      <c r="F396" s="75">
        <f>7.1*5.1+3.6*1.3</f>
        <v>40.889999999999993</v>
      </c>
      <c r="G396" s="29">
        <v>3564000</v>
      </c>
      <c r="H396" s="45">
        <v>0.8</v>
      </c>
      <c r="I396" s="102">
        <v>1.1479999999999999</v>
      </c>
      <c r="J396" s="223">
        <f t="shared" ref="J396:J410" si="35">ROUND(F396*G396*H396*I396,-3)</f>
        <v>133840000</v>
      </c>
      <c r="K396" s="39">
        <f t="shared" si="33"/>
        <v>133840000</v>
      </c>
      <c r="L396" s="261">
        <f t="shared" si="34"/>
        <v>0</v>
      </c>
      <c r="M396" s="14"/>
    </row>
    <row r="397" spans="1:13" ht="72" customHeight="1" x14ac:dyDescent="0.3">
      <c r="A397" s="69"/>
      <c r="B397" s="8"/>
      <c r="C397" s="82" t="s">
        <v>424</v>
      </c>
      <c r="D397" s="274" t="s">
        <v>148</v>
      </c>
      <c r="E397" s="27" t="s">
        <v>23</v>
      </c>
      <c r="F397" s="89">
        <f>7*5.1+3.6*1.3</f>
        <v>40.379999999999995</v>
      </c>
      <c r="G397" s="29">
        <v>3564000</v>
      </c>
      <c r="H397" s="45">
        <v>0.8</v>
      </c>
      <c r="I397" s="102">
        <v>1.1479999999999999</v>
      </c>
      <c r="J397" s="223">
        <f t="shared" si="35"/>
        <v>132171000</v>
      </c>
      <c r="K397" s="39">
        <f t="shared" si="33"/>
        <v>132171000</v>
      </c>
      <c r="L397" s="261">
        <f t="shared" si="34"/>
        <v>0</v>
      </c>
      <c r="M397" s="14"/>
    </row>
    <row r="398" spans="1:13" ht="25.5" x14ac:dyDescent="0.3">
      <c r="A398" s="69"/>
      <c r="B398" s="8"/>
      <c r="C398" s="82" t="s">
        <v>425</v>
      </c>
      <c r="D398" s="271" t="s">
        <v>54</v>
      </c>
      <c r="E398" s="27" t="s">
        <v>23</v>
      </c>
      <c r="F398" s="72">
        <f>6.8*4.9</f>
        <v>33.32</v>
      </c>
      <c r="G398" s="46">
        <v>213000</v>
      </c>
      <c r="H398" s="45">
        <v>0.8</v>
      </c>
      <c r="I398" s="31">
        <v>1.1479999999999999</v>
      </c>
      <c r="J398" s="223">
        <f t="shared" si="35"/>
        <v>6518000</v>
      </c>
      <c r="K398" s="39">
        <f t="shared" si="33"/>
        <v>6518000</v>
      </c>
      <c r="L398" s="261">
        <f t="shared" si="34"/>
        <v>0</v>
      </c>
      <c r="M398" s="158"/>
    </row>
    <row r="399" spans="1:13" ht="38.25" x14ac:dyDescent="0.3">
      <c r="A399" s="69"/>
      <c r="B399" s="8"/>
      <c r="C399" s="82" t="s">
        <v>426</v>
      </c>
      <c r="D399" s="267" t="s">
        <v>24</v>
      </c>
      <c r="E399" s="8" t="s">
        <v>25</v>
      </c>
      <c r="F399" s="89">
        <f>5.4*0.9*0.15+(3.6*1.3*0.15)*2</f>
        <v>2.133</v>
      </c>
      <c r="G399" s="29">
        <v>2828000</v>
      </c>
      <c r="H399" s="45">
        <v>0.8</v>
      </c>
      <c r="I399" s="31">
        <v>1.1479999999999999</v>
      </c>
      <c r="J399" s="223">
        <f t="shared" si="35"/>
        <v>5540000</v>
      </c>
      <c r="K399" s="39">
        <f t="shared" si="33"/>
        <v>5540000</v>
      </c>
      <c r="L399" s="261">
        <f t="shared" si="34"/>
        <v>0</v>
      </c>
      <c r="M399" s="14"/>
    </row>
    <row r="400" spans="1:13" ht="37.5" x14ac:dyDescent="0.3">
      <c r="A400" s="69"/>
      <c r="B400" s="8"/>
      <c r="C400" s="82" t="s">
        <v>833</v>
      </c>
      <c r="D400" s="270" t="s">
        <v>51</v>
      </c>
      <c r="E400" s="27" t="s">
        <v>23</v>
      </c>
      <c r="F400" s="72">
        <f>5.4*1+3.7*5.1</f>
        <v>24.270000000000003</v>
      </c>
      <c r="G400" s="29">
        <v>453000</v>
      </c>
      <c r="H400" s="45">
        <v>0.8</v>
      </c>
      <c r="I400" s="31">
        <v>1.1479999999999999</v>
      </c>
      <c r="J400" s="223">
        <f t="shared" si="35"/>
        <v>10097000</v>
      </c>
      <c r="K400" s="39">
        <f t="shared" si="33"/>
        <v>10097000</v>
      </c>
      <c r="L400" s="261">
        <f t="shared" si="34"/>
        <v>0</v>
      </c>
      <c r="M400" s="14"/>
    </row>
    <row r="401" spans="1:13" ht="25.5" x14ac:dyDescent="0.3">
      <c r="A401" s="69"/>
      <c r="B401" s="8"/>
      <c r="C401" s="82" t="s">
        <v>427</v>
      </c>
      <c r="D401" s="270" t="s">
        <v>66</v>
      </c>
      <c r="E401" s="27" t="s">
        <v>23</v>
      </c>
      <c r="F401" s="72">
        <f>8.6*1.7+3.8*1.1+1.9*0.9</f>
        <v>20.509999999999998</v>
      </c>
      <c r="G401" s="29">
        <v>339000</v>
      </c>
      <c r="H401" s="45">
        <v>0.8</v>
      </c>
      <c r="I401" s="31">
        <v>1.1479999999999999</v>
      </c>
      <c r="J401" s="223">
        <f t="shared" si="35"/>
        <v>6386000</v>
      </c>
      <c r="K401" s="39">
        <f t="shared" si="33"/>
        <v>6386000</v>
      </c>
      <c r="L401" s="261">
        <f t="shared" si="34"/>
        <v>0</v>
      </c>
      <c r="M401" s="14"/>
    </row>
    <row r="402" spans="1:13" ht="39" customHeight="1" x14ac:dyDescent="0.3">
      <c r="A402" s="69"/>
      <c r="B402" s="8"/>
      <c r="C402" s="82" t="s">
        <v>428</v>
      </c>
      <c r="D402" s="270" t="s">
        <v>28</v>
      </c>
      <c r="E402" s="27" t="s">
        <v>23</v>
      </c>
      <c r="F402" s="72">
        <f>2*0.6</f>
        <v>1.2</v>
      </c>
      <c r="G402" s="11">
        <v>396000</v>
      </c>
      <c r="H402" s="45">
        <v>0.8</v>
      </c>
      <c r="I402" s="31">
        <v>1.1479999999999999</v>
      </c>
      <c r="J402" s="223">
        <f t="shared" si="35"/>
        <v>436000</v>
      </c>
      <c r="K402" s="39">
        <f t="shared" si="33"/>
        <v>436000</v>
      </c>
      <c r="L402" s="261">
        <f t="shared" si="34"/>
        <v>0</v>
      </c>
      <c r="M402" s="14"/>
    </row>
    <row r="403" spans="1:13" ht="38.25" x14ac:dyDescent="0.3">
      <c r="A403" s="69"/>
      <c r="B403" s="8"/>
      <c r="C403" s="82" t="s">
        <v>429</v>
      </c>
      <c r="D403" s="267" t="s">
        <v>24</v>
      </c>
      <c r="E403" s="8" t="s">
        <v>25</v>
      </c>
      <c r="F403" s="89">
        <f>4.8*0.6*0.15+3.5*0.7*0.15</f>
        <v>0.79949999999999988</v>
      </c>
      <c r="G403" s="29">
        <v>2828000</v>
      </c>
      <c r="H403" s="45">
        <v>0.8</v>
      </c>
      <c r="I403" s="31">
        <v>1.1479999999999999</v>
      </c>
      <c r="J403" s="223">
        <f t="shared" si="35"/>
        <v>2076000</v>
      </c>
      <c r="K403" s="39">
        <f t="shared" si="33"/>
        <v>2076000</v>
      </c>
      <c r="L403" s="261">
        <f t="shared" si="34"/>
        <v>0</v>
      </c>
      <c r="M403" s="14"/>
    </row>
    <row r="404" spans="1:13" ht="37.5" customHeight="1" x14ac:dyDescent="0.3">
      <c r="A404" s="69"/>
      <c r="B404" s="8"/>
      <c r="C404" s="82" t="s">
        <v>430</v>
      </c>
      <c r="D404" s="270" t="s">
        <v>90</v>
      </c>
      <c r="E404" s="27" t="s">
        <v>23</v>
      </c>
      <c r="F404" s="75">
        <f>2.3*5.1</f>
        <v>11.729999999999999</v>
      </c>
      <c r="G404" s="29">
        <v>181000</v>
      </c>
      <c r="H404" s="45">
        <v>0.8</v>
      </c>
      <c r="I404" s="102">
        <v>1.1479999999999999</v>
      </c>
      <c r="J404" s="223">
        <f t="shared" si="35"/>
        <v>1950000</v>
      </c>
      <c r="K404" s="39">
        <f t="shared" si="33"/>
        <v>1950000</v>
      </c>
      <c r="L404" s="261">
        <f t="shared" si="34"/>
        <v>0</v>
      </c>
      <c r="M404" s="14"/>
    </row>
    <row r="405" spans="1:13" ht="38.25" x14ac:dyDescent="0.3">
      <c r="A405" s="69"/>
      <c r="B405" s="8"/>
      <c r="C405" s="82" t="s">
        <v>431</v>
      </c>
      <c r="D405" s="271" t="s">
        <v>32</v>
      </c>
      <c r="E405" s="27" t="s">
        <v>23</v>
      </c>
      <c r="F405" s="72">
        <f>4.1*5.1</f>
        <v>20.909999999999997</v>
      </c>
      <c r="G405" s="29">
        <v>215000</v>
      </c>
      <c r="H405" s="45">
        <v>0.8</v>
      </c>
      <c r="I405" s="31">
        <v>1.1479999999999999</v>
      </c>
      <c r="J405" s="223">
        <f t="shared" si="35"/>
        <v>4129000</v>
      </c>
      <c r="K405" s="39">
        <f t="shared" si="33"/>
        <v>4129000</v>
      </c>
      <c r="L405" s="261">
        <f t="shared" si="34"/>
        <v>0</v>
      </c>
      <c r="M405" s="14"/>
    </row>
    <row r="406" spans="1:13" ht="44.25" customHeight="1" x14ac:dyDescent="0.3">
      <c r="A406" s="69"/>
      <c r="B406" s="8"/>
      <c r="C406" s="82" t="s">
        <v>1096</v>
      </c>
      <c r="D406" s="270" t="s">
        <v>52</v>
      </c>
      <c r="E406" s="27" t="s">
        <v>23</v>
      </c>
      <c r="F406" s="72">
        <f>5.1*0.3</f>
        <v>1.5299999999999998</v>
      </c>
      <c r="G406" s="11" t="s">
        <v>53</v>
      </c>
      <c r="H406" s="45">
        <v>0.8</v>
      </c>
      <c r="I406" s="79">
        <v>1.1479999999999999</v>
      </c>
      <c r="J406" s="223">
        <f t="shared" si="35"/>
        <v>332000</v>
      </c>
      <c r="K406" s="39">
        <f t="shared" si="33"/>
        <v>332000</v>
      </c>
      <c r="L406" s="261">
        <f t="shared" si="34"/>
        <v>0</v>
      </c>
      <c r="M406" s="14"/>
    </row>
    <row r="407" spans="1:13" ht="53.25" customHeight="1" x14ac:dyDescent="0.3">
      <c r="A407" s="69"/>
      <c r="B407" s="8"/>
      <c r="C407" s="82" t="s">
        <v>1097</v>
      </c>
      <c r="D407" s="270" t="s">
        <v>55</v>
      </c>
      <c r="E407" s="27" t="s">
        <v>23</v>
      </c>
      <c r="F407" s="72">
        <f>5.1*0.6</f>
        <v>3.0599999999999996</v>
      </c>
      <c r="G407" s="29">
        <v>905000</v>
      </c>
      <c r="H407" s="45">
        <v>0.8</v>
      </c>
      <c r="I407" s="79">
        <v>1.1479999999999999</v>
      </c>
      <c r="J407" s="223">
        <f t="shared" si="35"/>
        <v>2543000</v>
      </c>
      <c r="K407" s="39">
        <f t="shared" si="33"/>
        <v>2543000</v>
      </c>
      <c r="L407" s="261">
        <f t="shared" si="34"/>
        <v>0</v>
      </c>
      <c r="M407" s="14"/>
    </row>
    <row r="408" spans="1:13" ht="38.25" x14ac:dyDescent="0.3">
      <c r="A408" s="69"/>
      <c r="B408" s="8"/>
      <c r="C408" s="82" t="s">
        <v>432</v>
      </c>
      <c r="D408" s="273" t="s">
        <v>44</v>
      </c>
      <c r="E408" s="63" t="s">
        <v>45</v>
      </c>
      <c r="F408" s="77">
        <v>10</v>
      </c>
      <c r="G408" s="46">
        <v>28000</v>
      </c>
      <c r="H408" s="45">
        <v>0.8</v>
      </c>
      <c r="I408" s="31">
        <v>1.1479999999999999</v>
      </c>
      <c r="J408" s="223">
        <f t="shared" si="35"/>
        <v>257000</v>
      </c>
      <c r="K408" s="39">
        <f t="shared" si="33"/>
        <v>257000</v>
      </c>
      <c r="L408" s="261">
        <f t="shared" si="34"/>
        <v>0</v>
      </c>
      <c r="M408" s="14"/>
    </row>
    <row r="409" spans="1:13" ht="38.25" x14ac:dyDescent="0.3">
      <c r="A409" s="69"/>
      <c r="B409" s="8"/>
      <c r="C409" s="82" t="s">
        <v>111</v>
      </c>
      <c r="D409" s="271" t="s">
        <v>47</v>
      </c>
      <c r="E409" s="63" t="s">
        <v>45</v>
      </c>
      <c r="F409" s="77">
        <v>10</v>
      </c>
      <c r="G409" s="46">
        <v>28000</v>
      </c>
      <c r="H409" s="45">
        <v>0.8</v>
      </c>
      <c r="I409" s="31">
        <v>1.1479999999999999</v>
      </c>
      <c r="J409" s="223">
        <f t="shared" si="35"/>
        <v>257000</v>
      </c>
      <c r="K409" s="39">
        <f t="shared" si="33"/>
        <v>257000</v>
      </c>
      <c r="L409" s="261">
        <f t="shared" si="34"/>
        <v>0</v>
      </c>
      <c r="M409" s="14"/>
    </row>
    <row r="410" spans="1:13" ht="25.5" x14ac:dyDescent="0.3">
      <c r="A410" s="69"/>
      <c r="B410" s="8"/>
      <c r="C410" s="82" t="s">
        <v>433</v>
      </c>
      <c r="D410" s="277" t="s">
        <v>164</v>
      </c>
      <c r="E410" s="27" t="s">
        <v>35</v>
      </c>
      <c r="F410" s="98">
        <v>1</v>
      </c>
      <c r="G410" s="29">
        <v>40910</v>
      </c>
      <c r="H410" s="50">
        <v>1</v>
      </c>
      <c r="I410" s="51">
        <v>1</v>
      </c>
      <c r="J410" s="223">
        <f t="shared" si="35"/>
        <v>41000</v>
      </c>
      <c r="K410" s="39">
        <f t="shared" si="33"/>
        <v>41000</v>
      </c>
      <c r="L410" s="261">
        <f t="shared" si="34"/>
        <v>0</v>
      </c>
      <c r="M410" s="14"/>
    </row>
    <row r="411" spans="1:13" ht="45.75" customHeight="1" x14ac:dyDescent="0.3">
      <c r="A411" s="149">
        <v>23</v>
      </c>
      <c r="B411" s="150" t="s">
        <v>19</v>
      </c>
      <c r="C411" s="455" t="s">
        <v>1098</v>
      </c>
      <c r="D411" s="456"/>
      <c r="E411" s="456"/>
      <c r="F411" s="456"/>
      <c r="G411" s="456"/>
      <c r="H411" s="456"/>
      <c r="I411" s="457"/>
      <c r="J411" s="221">
        <f>SUM(J412:J433)</f>
        <v>187898000</v>
      </c>
      <c r="K411" s="39">
        <f t="shared" si="33"/>
        <v>0</v>
      </c>
      <c r="L411" s="261">
        <f t="shared" si="34"/>
        <v>187898000</v>
      </c>
      <c r="M411" s="24"/>
    </row>
    <row r="412" spans="1:13" ht="27" customHeight="1" x14ac:dyDescent="0.3">
      <c r="A412" s="69"/>
      <c r="B412" s="8"/>
      <c r="C412" s="433" t="s">
        <v>1089</v>
      </c>
      <c r="D412" s="434"/>
      <c r="E412" s="434"/>
      <c r="F412" s="466"/>
      <c r="G412" s="434"/>
      <c r="H412" s="434"/>
      <c r="I412" s="467"/>
      <c r="J412" s="229"/>
      <c r="K412" s="39">
        <f t="shared" si="33"/>
        <v>0</v>
      </c>
      <c r="L412" s="261">
        <f t="shared" si="34"/>
        <v>0</v>
      </c>
      <c r="M412" s="14"/>
    </row>
    <row r="413" spans="1:13" ht="72" customHeight="1" x14ac:dyDescent="0.3">
      <c r="A413" s="69"/>
      <c r="B413" s="8"/>
      <c r="C413" s="82" t="s">
        <v>434</v>
      </c>
      <c r="D413" s="274" t="s">
        <v>435</v>
      </c>
      <c r="E413" s="27" t="s">
        <v>23</v>
      </c>
      <c r="F413" s="75">
        <f>7.2*5</f>
        <v>36</v>
      </c>
      <c r="G413" s="29">
        <v>3371000</v>
      </c>
      <c r="H413" s="45">
        <v>0.8</v>
      </c>
      <c r="I413" s="102">
        <v>1.1479999999999999</v>
      </c>
      <c r="J413" s="223">
        <f t="shared" ref="J413:J433" si="36">ROUND(F413*G413*H413*I413,-3)</f>
        <v>111453000</v>
      </c>
      <c r="K413" s="39">
        <f t="shared" si="33"/>
        <v>111453000</v>
      </c>
      <c r="L413" s="261">
        <f t="shared" si="34"/>
        <v>0</v>
      </c>
      <c r="M413" s="14"/>
    </row>
    <row r="414" spans="1:13" ht="42" customHeight="1" x14ac:dyDescent="0.3">
      <c r="A414" s="69"/>
      <c r="B414" s="8"/>
      <c r="C414" s="82" t="s">
        <v>436</v>
      </c>
      <c r="D414" s="271" t="s">
        <v>225</v>
      </c>
      <c r="E414" s="96" t="s">
        <v>91</v>
      </c>
      <c r="F414" s="72">
        <f>3.7*5</f>
        <v>18.5</v>
      </c>
      <c r="G414" s="29">
        <v>527000</v>
      </c>
      <c r="H414" s="45">
        <v>0.8</v>
      </c>
      <c r="I414" s="151">
        <v>1.1479999999999999</v>
      </c>
      <c r="J414" s="223">
        <f t="shared" si="36"/>
        <v>8954000</v>
      </c>
      <c r="K414" s="39">
        <f t="shared" si="33"/>
        <v>8954000</v>
      </c>
      <c r="L414" s="261">
        <f t="shared" si="34"/>
        <v>0</v>
      </c>
      <c r="M414" s="14"/>
    </row>
    <row r="415" spans="1:13" ht="38.25" x14ac:dyDescent="0.3">
      <c r="A415" s="69"/>
      <c r="B415" s="8"/>
      <c r="C415" s="82" t="s">
        <v>437</v>
      </c>
      <c r="D415" s="267" t="s">
        <v>24</v>
      </c>
      <c r="E415" s="8" t="s">
        <v>25</v>
      </c>
      <c r="F415" s="89">
        <f>0.6*4.7*0.15</f>
        <v>0.42299999999999999</v>
      </c>
      <c r="G415" s="29">
        <v>2828000</v>
      </c>
      <c r="H415" s="45">
        <v>0.8</v>
      </c>
      <c r="I415" s="31">
        <v>1.1479999999999999</v>
      </c>
      <c r="J415" s="223">
        <f t="shared" si="36"/>
        <v>1099000</v>
      </c>
      <c r="K415" s="39">
        <f t="shared" si="33"/>
        <v>1099000</v>
      </c>
      <c r="L415" s="261">
        <f t="shared" si="34"/>
        <v>0</v>
      </c>
      <c r="M415" s="158"/>
    </row>
    <row r="416" spans="1:13" ht="38.25" x14ac:dyDescent="0.3">
      <c r="A416" s="69"/>
      <c r="B416" s="8"/>
      <c r="C416" s="82" t="s">
        <v>431</v>
      </c>
      <c r="D416" s="271" t="s">
        <v>32</v>
      </c>
      <c r="E416" s="27" t="s">
        <v>23</v>
      </c>
      <c r="F416" s="72">
        <f>4.1*5.1</f>
        <v>20.909999999999997</v>
      </c>
      <c r="G416" s="29">
        <v>215000</v>
      </c>
      <c r="H416" s="45">
        <v>0.8</v>
      </c>
      <c r="I416" s="31">
        <v>1.1479999999999999</v>
      </c>
      <c r="J416" s="223">
        <f t="shared" si="36"/>
        <v>4129000</v>
      </c>
      <c r="K416" s="39">
        <f t="shared" si="33"/>
        <v>4129000</v>
      </c>
      <c r="L416" s="261">
        <f t="shared" si="34"/>
        <v>0</v>
      </c>
      <c r="M416" s="14"/>
    </row>
    <row r="417" spans="1:13" ht="37.5" x14ac:dyDescent="0.3">
      <c r="A417" s="69"/>
      <c r="B417" s="8"/>
      <c r="C417" s="82" t="s">
        <v>438</v>
      </c>
      <c r="D417" s="270" t="s">
        <v>66</v>
      </c>
      <c r="E417" s="27" t="s">
        <v>23</v>
      </c>
      <c r="F417" s="72">
        <f>(11*1.2)*3+6.5*1.1</f>
        <v>46.749999999999993</v>
      </c>
      <c r="G417" s="29">
        <v>339000</v>
      </c>
      <c r="H417" s="45">
        <v>0.8</v>
      </c>
      <c r="I417" s="79">
        <v>1.1479999999999999</v>
      </c>
      <c r="J417" s="223">
        <f t="shared" si="36"/>
        <v>14555000</v>
      </c>
      <c r="K417" s="39">
        <f t="shared" si="33"/>
        <v>14555000</v>
      </c>
      <c r="L417" s="261">
        <f t="shared" si="34"/>
        <v>0</v>
      </c>
      <c r="M417" s="14"/>
    </row>
    <row r="418" spans="1:13" ht="37.5" x14ac:dyDescent="0.3">
      <c r="A418" s="69"/>
      <c r="B418" s="8"/>
      <c r="C418" s="82" t="s">
        <v>439</v>
      </c>
      <c r="D418" s="270" t="s">
        <v>66</v>
      </c>
      <c r="E418" s="27" t="s">
        <v>23</v>
      </c>
      <c r="F418" s="89">
        <f>8.4*1.7+(0.5*0.7)*8+5.5*1.9</f>
        <v>27.529999999999998</v>
      </c>
      <c r="G418" s="29">
        <v>339000</v>
      </c>
      <c r="H418" s="45">
        <v>0.8</v>
      </c>
      <c r="I418" s="102">
        <v>1.1479999999999999</v>
      </c>
      <c r="J418" s="223">
        <f t="shared" si="36"/>
        <v>8571000</v>
      </c>
      <c r="K418" s="39">
        <f t="shared" si="33"/>
        <v>8571000</v>
      </c>
      <c r="L418" s="261">
        <f t="shared" si="34"/>
        <v>0</v>
      </c>
      <c r="M418" s="14"/>
    </row>
    <row r="419" spans="1:13" ht="34.5" customHeight="1" x14ac:dyDescent="0.3">
      <c r="A419" s="69"/>
      <c r="B419" s="8"/>
      <c r="C419" s="82" t="s">
        <v>1099</v>
      </c>
      <c r="D419" s="270" t="s">
        <v>52</v>
      </c>
      <c r="E419" s="71" t="s">
        <v>23</v>
      </c>
      <c r="F419" s="72">
        <f>3.5*4.7</f>
        <v>16.45</v>
      </c>
      <c r="G419" s="11" t="s">
        <v>53</v>
      </c>
      <c r="H419" s="45">
        <v>0.8</v>
      </c>
      <c r="I419" s="31">
        <v>1.1479999999999999</v>
      </c>
      <c r="J419" s="223">
        <f>ROUND(F419*G419*H419*I419,-3)</f>
        <v>3565000</v>
      </c>
      <c r="K419" s="39">
        <f t="shared" si="33"/>
        <v>3565000</v>
      </c>
      <c r="L419" s="261">
        <f t="shared" si="34"/>
        <v>0</v>
      </c>
      <c r="M419" s="14"/>
    </row>
    <row r="420" spans="1:13" ht="34.5" customHeight="1" x14ac:dyDescent="0.3">
      <c r="A420" s="69"/>
      <c r="B420" s="8"/>
      <c r="C420" s="82" t="s">
        <v>1100</v>
      </c>
      <c r="D420" s="271" t="s">
        <v>54</v>
      </c>
      <c r="E420" s="27" t="s">
        <v>23</v>
      </c>
      <c r="F420" s="72">
        <f>(2*4.7)+(2.1*1.6)</f>
        <v>12.760000000000002</v>
      </c>
      <c r="G420" s="46">
        <v>213000</v>
      </c>
      <c r="H420" s="45">
        <v>0.8</v>
      </c>
      <c r="I420" s="31">
        <v>1.1479999999999999</v>
      </c>
      <c r="J420" s="223">
        <f>ROUND(F420*G420*H420*I420,-3)</f>
        <v>2496000</v>
      </c>
      <c r="K420" s="39">
        <f t="shared" si="33"/>
        <v>2496000</v>
      </c>
      <c r="L420" s="261">
        <f t="shared" si="34"/>
        <v>0</v>
      </c>
      <c r="M420" s="14"/>
    </row>
    <row r="421" spans="1:13" ht="36.75" customHeight="1" x14ac:dyDescent="0.3">
      <c r="A421" s="69"/>
      <c r="B421" s="8"/>
      <c r="C421" s="82" t="s">
        <v>440</v>
      </c>
      <c r="D421" s="270" t="s">
        <v>52</v>
      </c>
      <c r="E421" s="71" t="s">
        <v>23</v>
      </c>
      <c r="F421" s="72">
        <f>7*4.7</f>
        <v>32.9</v>
      </c>
      <c r="G421" s="11" t="s">
        <v>53</v>
      </c>
      <c r="H421" s="45">
        <v>0.8</v>
      </c>
      <c r="I421" s="31">
        <v>1.1479999999999999</v>
      </c>
      <c r="J421" s="223">
        <f t="shared" si="36"/>
        <v>7131000</v>
      </c>
      <c r="K421" s="39">
        <f t="shared" si="33"/>
        <v>7131000</v>
      </c>
      <c r="L421" s="261">
        <f t="shared" si="34"/>
        <v>0</v>
      </c>
      <c r="M421" s="14"/>
    </row>
    <row r="422" spans="1:13" ht="36.75" customHeight="1" x14ac:dyDescent="0.3">
      <c r="A422" s="69"/>
      <c r="B422" s="8"/>
      <c r="C422" s="82" t="s">
        <v>441</v>
      </c>
      <c r="D422" s="270" t="s">
        <v>442</v>
      </c>
      <c r="E422" s="27" t="s">
        <v>23</v>
      </c>
      <c r="F422" s="72">
        <f>2.8*1.1</f>
        <v>3.08</v>
      </c>
      <c r="G422" s="29">
        <v>527000</v>
      </c>
      <c r="H422" s="45">
        <v>0.8</v>
      </c>
      <c r="I422" s="31">
        <v>1.1479999999999999</v>
      </c>
      <c r="J422" s="223">
        <f t="shared" si="36"/>
        <v>1491000</v>
      </c>
      <c r="K422" s="39">
        <f t="shared" si="33"/>
        <v>1491000</v>
      </c>
      <c r="L422" s="261">
        <f t="shared" si="34"/>
        <v>0</v>
      </c>
      <c r="M422" s="14"/>
    </row>
    <row r="423" spans="1:13" ht="36.75" customHeight="1" x14ac:dyDescent="0.3">
      <c r="A423" s="69"/>
      <c r="B423" s="8"/>
      <c r="C423" s="82" t="s">
        <v>443</v>
      </c>
      <c r="D423" s="270" t="s">
        <v>28</v>
      </c>
      <c r="E423" s="27" t="s">
        <v>23</v>
      </c>
      <c r="F423" s="72">
        <f>3.4*0.6</f>
        <v>2.04</v>
      </c>
      <c r="G423" s="11">
        <v>396000</v>
      </c>
      <c r="H423" s="45">
        <v>0.8</v>
      </c>
      <c r="I423" s="31">
        <v>1.1479999999999999</v>
      </c>
      <c r="J423" s="223">
        <f t="shared" si="36"/>
        <v>742000</v>
      </c>
      <c r="K423" s="39">
        <f t="shared" si="33"/>
        <v>742000</v>
      </c>
      <c r="L423" s="261">
        <f t="shared" si="34"/>
        <v>0</v>
      </c>
      <c r="M423" s="14"/>
    </row>
    <row r="424" spans="1:13" ht="37.5" x14ac:dyDescent="0.3">
      <c r="A424" s="69"/>
      <c r="B424" s="8"/>
      <c r="C424" s="82" t="s">
        <v>834</v>
      </c>
      <c r="D424" s="270" t="s">
        <v>51</v>
      </c>
      <c r="E424" s="27" t="s">
        <v>23</v>
      </c>
      <c r="F424" s="72">
        <f>3.3*5</f>
        <v>16.5</v>
      </c>
      <c r="G424" s="29">
        <v>453000</v>
      </c>
      <c r="H424" s="45">
        <v>0.8</v>
      </c>
      <c r="I424" s="31">
        <v>1.1479999999999999</v>
      </c>
      <c r="J424" s="223">
        <f t="shared" si="36"/>
        <v>6865000</v>
      </c>
      <c r="K424" s="39">
        <f t="shared" si="33"/>
        <v>6865000</v>
      </c>
      <c r="L424" s="261">
        <f t="shared" si="34"/>
        <v>0</v>
      </c>
      <c r="M424" s="14"/>
    </row>
    <row r="425" spans="1:13" ht="39" customHeight="1" x14ac:dyDescent="0.3">
      <c r="A425" s="69"/>
      <c r="B425" s="8"/>
      <c r="C425" s="82" t="s">
        <v>444</v>
      </c>
      <c r="D425" s="270" t="s">
        <v>31</v>
      </c>
      <c r="E425" s="27" t="s">
        <v>23</v>
      </c>
      <c r="F425" s="75">
        <f>5*2.4</f>
        <v>12</v>
      </c>
      <c r="G425" s="29">
        <v>339000</v>
      </c>
      <c r="H425" s="45">
        <v>0.8</v>
      </c>
      <c r="I425" s="31">
        <v>1.1479999999999999</v>
      </c>
      <c r="J425" s="223">
        <f t="shared" si="36"/>
        <v>3736000</v>
      </c>
      <c r="K425" s="39">
        <f t="shared" si="33"/>
        <v>3736000</v>
      </c>
      <c r="L425" s="261">
        <f t="shared" si="34"/>
        <v>0</v>
      </c>
      <c r="M425" s="14"/>
    </row>
    <row r="426" spans="1:13" ht="38.25" x14ac:dyDescent="0.3">
      <c r="A426" s="69"/>
      <c r="B426" s="8"/>
      <c r="C426" s="82" t="s">
        <v>445</v>
      </c>
      <c r="D426" s="267" t="s">
        <v>89</v>
      </c>
      <c r="E426" s="71" t="s">
        <v>23</v>
      </c>
      <c r="F426" s="72">
        <f>3*5+2.6*1.5</f>
        <v>18.899999999999999</v>
      </c>
      <c r="G426" s="29">
        <v>11000</v>
      </c>
      <c r="H426" s="45">
        <v>0.8</v>
      </c>
      <c r="I426" s="31">
        <v>1.1479999999999999</v>
      </c>
      <c r="J426" s="223">
        <f t="shared" si="36"/>
        <v>191000</v>
      </c>
      <c r="K426" s="39">
        <f t="shared" si="33"/>
        <v>191000</v>
      </c>
      <c r="L426" s="261">
        <f t="shared" si="34"/>
        <v>0</v>
      </c>
      <c r="M426" s="14"/>
    </row>
    <row r="427" spans="1:13" ht="37.5" customHeight="1" x14ac:dyDescent="0.3">
      <c r="A427" s="69"/>
      <c r="B427" s="8"/>
      <c r="C427" s="82" t="s">
        <v>446</v>
      </c>
      <c r="D427" s="270" t="s">
        <v>29</v>
      </c>
      <c r="E427" s="27" t="s">
        <v>23</v>
      </c>
      <c r="F427" s="72">
        <f>2.6*1.2</f>
        <v>3.12</v>
      </c>
      <c r="G427" s="29">
        <v>792000</v>
      </c>
      <c r="H427" s="45">
        <v>0.8</v>
      </c>
      <c r="I427" s="31">
        <v>1.1479999999999999</v>
      </c>
      <c r="J427" s="223">
        <f t="shared" si="36"/>
        <v>2269000</v>
      </c>
      <c r="K427" s="39">
        <f t="shared" si="33"/>
        <v>2269000</v>
      </c>
      <c r="L427" s="261">
        <f t="shared" si="34"/>
        <v>0</v>
      </c>
      <c r="M427" s="14"/>
    </row>
    <row r="428" spans="1:13" ht="25.5" x14ac:dyDescent="0.3">
      <c r="A428" s="69"/>
      <c r="B428" s="8"/>
      <c r="C428" s="82" t="s">
        <v>165</v>
      </c>
      <c r="D428" s="280" t="s">
        <v>92</v>
      </c>
      <c r="E428" s="27" t="s">
        <v>35</v>
      </c>
      <c r="F428" s="98">
        <v>1</v>
      </c>
      <c r="G428" s="11">
        <v>16590</v>
      </c>
      <c r="H428" s="50">
        <v>1</v>
      </c>
      <c r="I428" s="51">
        <v>1</v>
      </c>
      <c r="J428" s="223">
        <f t="shared" si="36"/>
        <v>17000</v>
      </c>
      <c r="K428" s="39">
        <f t="shared" si="33"/>
        <v>17000</v>
      </c>
      <c r="L428" s="261">
        <f t="shared" si="34"/>
        <v>0</v>
      </c>
      <c r="M428" s="14"/>
    </row>
    <row r="429" spans="1:13" ht="40.5" customHeight="1" x14ac:dyDescent="0.3">
      <c r="A429" s="69"/>
      <c r="B429" s="8"/>
      <c r="C429" s="82" t="s">
        <v>447</v>
      </c>
      <c r="D429" s="270" t="s">
        <v>52</v>
      </c>
      <c r="E429" s="96" t="s">
        <v>91</v>
      </c>
      <c r="F429" s="72">
        <f>(5*0.4)*2</f>
        <v>4</v>
      </c>
      <c r="G429" s="11" t="s">
        <v>53</v>
      </c>
      <c r="H429" s="45">
        <v>0.8</v>
      </c>
      <c r="I429" s="31">
        <v>1.1479999999999999</v>
      </c>
      <c r="J429" s="223">
        <f t="shared" si="36"/>
        <v>867000</v>
      </c>
      <c r="K429" s="39">
        <f t="shared" si="33"/>
        <v>867000</v>
      </c>
      <c r="L429" s="261">
        <f t="shared" si="34"/>
        <v>0</v>
      </c>
      <c r="M429" s="14"/>
    </row>
    <row r="430" spans="1:13" ht="38.25" x14ac:dyDescent="0.3">
      <c r="A430" s="69"/>
      <c r="B430" s="8"/>
      <c r="C430" s="82" t="s">
        <v>432</v>
      </c>
      <c r="D430" s="273" t="s">
        <v>44</v>
      </c>
      <c r="E430" s="63" t="s">
        <v>45</v>
      </c>
      <c r="F430" s="77">
        <v>10</v>
      </c>
      <c r="G430" s="46">
        <v>28000</v>
      </c>
      <c r="H430" s="45">
        <v>0.8</v>
      </c>
      <c r="I430" s="31">
        <v>1.1479999999999999</v>
      </c>
      <c r="J430" s="223">
        <f t="shared" si="36"/>
        <v>257000</v>
      </c>
      <c r="K430" s="39">
        <f t="shared" si="33"/>
        <v>257000</v>
      </c>
      <c r="L430" s="261">
        <f t="shared" si="34"/>
        <v>0</v>
      </c>
      <c r="M430" s="14"/>
    </row>
    <row r="431" spans="1:13" ht="38.25" x14ac:dyDescent="0.3">
      <c r="A431" s="69"/>
      <c r="B431" s="8"/>
      <c r="C431" s="82" t="s">
        <v>111</v>
      </c>
      <c r="D431" s="271" t="s">
        <v>47</v>
      </c>
      <c r="E431" s="63" t="s">
        <v>45</v>
      </c>
      <c r="F431" s="77">
        <v>10</v>
      </c>
      <c r="G431" s="46">
        <v>28000</v>
      </c>
      <c r="H431" s="45">
        <v>0.8</v>
      </c>
      <c r="I431" s="31">
        <v>1.1479999999999999</v>
      </c>
      <c r="J431" s="223">
        <f t="shared" si="36"/>
        <v>257000</v>
      </c>
      <c r="K431" s="39">
        <f t="shared" si="33"/>
        <v>257000</v>
      </c>
      <c r="L431" s="261">
        <f t="shared" si="34"/>
        <v>0</v>
      </c>
      <c r="M431" s="14"/>
    </row>
    <row r="432" spans="1:13" ht="37.5" x14ac:dyDescent="0.3">
      <c r="A432" s="69"/>
      <c r="B432" s="8"/>
      <c r="C432" s="82" t="s">
        <v>448</v>
      </c>
      <c r="D432" s="270" t="s">
        <v>52</v>
      </c>
      <c r="E432" s="27" t="s">
        <v>23</v>
      </c>
      <c r="F432" s="72">
        <f>5*4.7+(3.7*2.5)*2</f>
        <v>42</v>
      </c>
      <c r="G432" s="11" t="s">
        <v>53</v>
      </c>
      <c r="H432" s="45">
        <v>0.8</v>
      </c>
      <c r="I432" s="79">
        <v>1.1479999999999999</v>
      </c>
      <c r="J432" s="223">
        <f t="shared" si="36"/>
        <v>9103000</v>
      </c>
      <c r="K432" s="39">
        <f t="shared" si="33"/>
        <v>9103000</v>
      </c>
      <c r="L432" s="261">
        <f t="shared" si="34"/>
        <v>0</v>
      </c>
      <c r="M432" s="14"/>
    </row>
    <row r="433" spans="1:13" ht="38.25" x14ac:dyDescent="0.3">
      <c r="A433" s="69"/>
      <c r="B433" s="8"/>
      <c r="C433" s="82" t="s">
        <v>866</v>
      </c>
      <c r="D433" s="277" t="s">
        <v>869</v>
      </c>
      <c r="E433" s="182" t="s">
        <v>828</v>
      </c>
      <c r="F433" s="77">
        <f>0.6*0.6*1</f>
        <v>0.36</v>
      </c>
      <c r="G433" s="130">
        <v>453000</v>
      </c>
      <c r="H433" s="45">
        <v>0.8</v>
      </c>
      <c r="I433" s="40">
        <v>1.1479999999999999</v>
      </c>
      <c r="J433" s="229">
        <f t="shared" si="36"/>
        <v>150000</v>
      </c>
      <c r="K433" s="39">
        <f t="shared" si="33"/>
        <v>150000</v>
      </c>
      <c r="L433" s="261">
        <f t="shared" si="34"/>
        <v>0</v>
      </c>
      <c r="M433" s="14"/>
    </row>
    <row r="434" spans="1:13" ht="48" customHeight="1" x14ac:dyDescent="0.3">
      <c r="A434" s="149">
        <v>24</v>
      </c>
      <c r="B434" s="150" t="s">
        <v>19</v>
      </c>
      <c r="C434" s="455" t="s">
        <v>1101</v>
      </c>
      <c r="D434" s="456"/>
      <c r="E434" s="456"/>
      <c r="F434" s="456"/>
      <c r="G434" s="456"/>
      <c r="H434" s="456"/>
      <c r="I434" s="457"/>
      <c r="J434" s="221">
        <f>SUM(J435:J443)</f>
        <v>131057000</v>
      </c>
      <c r="K434" s="39">
        <f t="shared" si="33"/>
        <v>0</v>
      </c>
      <c r="L434" s="261">
        <f t="shared" si="34"/>
        <v>131057000</v>
      </c>
      <c r="M434" s="24"/>
    </row>
    <row r="435" spans="1:13" ht="24.75" customHeight="1" x14ac:dyDescent="0.3">
      <c r="A435" s="69"/>
      <c r="B435" s="8"/>
      <c r="C435" s="433" t="s">
        <v>1089</v>
      </c>
      <c r="D435" s="434"/>
      <c r="E435" s="434"/>
      <c r="F435" s="466"/>
      <c r="G435" s="434"/>
      <c r="H435" s="434"/>
      <c r="I435" s="467"/>
      <c r="J435" s="223"/>
      <c r="K435" s="39">
        <f t="shared" si="33"/>
        <v>0</v>
      </c>
      <c r="L435" s="261">
        <f t="shared" si="34"/>
        <v>0</v>
      </c>
      <c r="M435" s="14"/>
    </row>
    <row r="436" spans="1:13" ht="72" customHeight="1" x14ac:dyDescent="0.3">
      <c r="A436" s="69"/>
      <c r="B436" s="8"/>
      <c r="C436" s="82" t="s">
        <v>449</v>
      </c>
      <c r="D436" s="274" t="s">
        <v>435</v>
      </c>
      <c r="E436" s="27" t="s">
        <v>23</v>
      </c>
      <c r="F436" s="75">
        <f>5*7.2</f>
        <v>36</v>
      </c>
      <c r="G436" s="29">
        <v>3371000</v>
      </c>
      <c r="H436" s="45">
        <v>0.8</v>
      </c>
      <c r="I436" s="102">
        <v>1.1479999999999999</v>
      </c>
      <c r="J436" s="223">
        <f t="shared" ref="J436:J443" si="37">ROUND(F436*G436*H436*I436,-3)</f>
        <v>111453000</v>
      </c>
      <c r="K436" s="39">
        <f t="shared" si="33"/>
        <v>111453000</v>
      </c>
      <c r="L436" s="261">
        <f t="shared" si="34"/>
        <v>0</v>
      </c>
      <c r="M436" s="14"/>
    </row>
    <row r="437" spans="1:13" ht="38.25" x14ac:dyDescent="0.3">
      <c r="A437" s="69"/>
      <c r="B437" s="8"/>
      <c r="C437" s="82" t="s">
        <v>450</v>
      </c>
      <c r="D437" s="267" t="s">
        <v>24</v>
      </c>
      <c r="E437" s="8" t="s">
        <v>25</v>
      </c>
      <c r="F437" s="89">
        <f>(4.7*0.6*0.15)</f>
        <v>0.42299999999999999</v>
      </c>
      <c r="G437" s="29">
        <v>2828000</v>
      </c>
      <c r="H437" s="45">
        <v>0.8</v>
      </c>
      <c r="I437" s="31">
        <v>1.1479999999999999</v>
      </c>
      <c r="J437" s="223">
        <f t="shared" si="37"/>
        <v>1099000</v>
      </c>
      <c r="K437" s="39">
        <f t="shared" si="33"/>
        <v>1099000</v>
      </c>
      <c r="L437" s="261">
        <f t="shared" si="34"/>
        <v>0</v>
      </c>
      <c r="M437" s="14"/>
    </row>
    <row r="438" spans="1:13" ht="38.25" x14ac:dyDescent="0.3">
      <c r="A438" s="69"/>
      <c r="B438" s="8"/>
      <c r="C438" s="82" t="s">
        <v>451</v>
      </c>
      <c r="D438" s="271" t="s">
        <v>32</v>
      </c>
      <c r="E438" s="27" t="s">
        <v>23</v>
      </c>
      <c r="F438" s="72">
        <f>4.1*5</f>
        <v>20.5</v>
      </c>
      <c r="G438" s="29">
        <v>215000</v>
      </c>
      <c r="H438" s="45">
        <v>0.8</v>
      </c>
      <c r="I438" s="31">
        <v>1.1479999999999999</v>
      </c>
      <c r="J438" s="223">
        <f t="shared" si="37"/>
        <v>4048000</v>
      </c>
      <c r="K438" s="39">
        <f t="shared" si="33"/>
        <v>4048000</v>
      </c>
      <c r="L438" s="261">
        <f t="shared" si="34"/>
        <v>0</v>
      </c>
      <c r="M438" s="158"/>
    </row>
    <row r="439" spans="1:13" ht="37.5" x14ac:dyDescent="0.3">
      <c r="A439" s="69"/>
      <c r="B439" s="8"/>
      <c r="C439" s="82" t="s">
        <v>835</v>
      </c>
      <c r="D439" s="270" t="s">
        <v>51</v>
      </c>
      <c r="E439" s="27" t="s">
        <v>23</v>
      </c>
      <c r="F439" s="72">
        <f>2.8*5</f>
        <v>14</v>
      </c>
      <c r="G439" s="29">
        <v>453000</v>
      </c>
      <c r="H439" s="45">
        <v>0.8</v>
      </c>
      <c r="I439" s="31">
        <v>1.1479999999999999</v>
      </c>
      <c r="J439" s="223">
        <f t="shared" si="37"/>
        <v>5824000</v>
      </c>
      <c r="K439" s="39">
        <f t="shared" si="33"/>
        <v>5824000</v>
      </c>
      <c r="L439" s="261">
        <f t="shared" si="34"/>
        <v>0</v>
      </c>
      <c r="M439" s="14"/>
    </row>
    <row r="440" spans="1:13" ht="38.25" x14ac:dyDescent="0.3">
      <c r="A440" s="69"/>
      <c r="B440" s="8"/>
      <c r="C440" s="82" t="s">
        <v>452</v>
      </c>
      <c r="D440" s="271" t="s">
        <v>32</v>
      </c>
      <c r="E440" s="27" t="s">
        <v>23</v>
      </c>
      <c r="F440" s="72">
        <f>2.8*5</f>
        <v>14</v>
      </c>
      <c r="G440" s="29">
        <v>215000</v>
      </c>
      <c r="H440" s="45">
        <v>0.8</v>
      </c>
      <c r="I440" s="31">
        <v>1.1479999999999999</v>
      </c>
      <c r="J440" s="223">
        <f t="shared" si="37"/>
        <v>2764000</v>
      </c>
      <c r="K440" s="39">
        <f t="shared" si="33"/>
        <v>2764000</v>
      </c>
      <c r="L440" s="261">
        <f t="shared" si="34"/>
        <v>0</v>
      </c>
      <c r="M440" s="14"/>
    </row>
    <row r="441" spans="1:13" ht="38.25" x14ac:dyDescent="0.3">
      <c r="A441" s="69"/>
      <c r="B441" s="8"/>
      <c r="C441" s="82" t="s">
        <v>453</v>
      </c>
      <c r="D441" s="267" t="s">
        <v>161</v>
      </c>
      <c r="E441" s="71" t="s">
        <v>23</v>
      </c>
      <c r="F441" s="72">
        <f>2.4*5</f>
        <v>12</v>
      </c>
      <c r="G441" s="11">
        <v>396000</v>
      </c>
      <c r="H441" s="45">
        <v>0.8</v>
      </c>
      <c r="I441" s="31">
        <v>1.1479999999999999</v>
      </c>
      <c r="J441" s="223">
        <f t="shared" si="37"/>
        <v>4364000</v>
      </c>
      <c r="K441" s="39">
        <f t="shared" si="33"/>
        <v>4364000</v>
      </c>
      <c r="L441" s="261">
        <f t="shared" si="34"/>
        <v>0</v>
      </c>
      <c r="M441" s="14"/>
    </row>
    <row r="442" spans="1:13" ht="42.75" customHeight="1" x14ac:dyDescent="0.3">
      <c r="A442" s="69"/>
      <c r="B442" s="8"/>
      <c r="C442" s="82" t="s">
        <v>454</v>
      </c>
      <c r="D442" s="272" t="s">
        <v>33</v>
      </c>
      <c r="E442" s="27" t="s">
        <v>23</v>
      </c>
      <c r="F442" s="89">
        <f>5*0.6</f>
        <v>3</v>
      </c>
      <c r="G442" s="29">
        <v>453000</v>
      </c>
      <c r="H442" s="45">
        <v>0.8</v>
      </c>
      <c r="I442" s="31">
        <v>1.1479999999999999</v>
      </c>
      <c r="J442" s="223">
        <f t="shared" si="37"/>
        <v>1248000</v>
      </c>
      <c r="K442" s="39">
        <f t="shared" si="33"/>
        <v>1248000</v>
      </c>
      <c r="L442" s="261">
        <f t="shared" si="34"/>
        <v>0</v>
      </c>
      <c r="M442" s="14"/>
    </row>
    <row r="443" spans="1:13" ht="38.25" x14ac:dyDescent="0.3">
      <c r="A443" s="69"/>
      <c r="B443" s="8"/>
      <c r="C443" s="82" t="s">
        <v>111</v>
      </c>
      <c r="D443" s="271" t="s">
        <v>47</v>
      </c>
      <c r="E443" s="63" t="s">
        <v>45</v>
      </c>
      <c r="F443" s="77">
        <v>10</v>
      </c>
      <c r="G443" s="46">
        <v>28000</v>
      </c>
      <c r="H443" s="45">
        <v>0.8</v>
      </c>
      <c r="I443" s="31">
        <v>1.1479999999999999</v>
      </c>
      <c r="J443" s="223">
        <f t="shared" si="37"/>
        <v>257000</v>
      </c>
      <c r="K443" s="39">
        <f t="shared" si="33"/>
        <v>257000</v>
      </c>
      <c r="L443" s="261">
        <f t="shared" si="34"/>
        <v>0</v>
      </c>
      <c r="M443" s="14"/>
    </row>
    <row r="444" spans="1:13" ht="49.5" customHeight="1" x14ac:dyDescent="0.3">
      <c r="A444" s="149">
        <v>25</v>
      </c>
      <c r="B444" s="150" t="s">
        <v>19</v>
      </c>
      <c r="C444" s="455" t="s">
        <v>1102</v>
      </c>
      <c r="D444" s="456"/>
      <c r="E444" s="456"/>
      <c r="F444" s="456"/>
      <c r="G444" s="456"/>
      <c r="H444" s="456"/>
      <c r="I444" s="457"/>
      <c r="J444" s="221">
        <f>SUM(J445:J455)</f>
        <v>179115000</v>
      </c>
      <c r="K444" s="39">
        <f t="shared" si="33"/>
        <v>0</v>
      </c>
      <c r="L444" s="261">
        <f t="shared" si="34"/>
        <v>179115000</v>
      </c>
      <c r="M444" s="24"/>
    </row>
    <row r="445" spans="1:13" ht="27.75" customHeight="1" x14ac:dyDescent="0.3">
      <c r="A445" s="69"/>
      <c r="B445" s="8"/>
      <c r="C445" s="433" t="s">
        <v>1089</v>
      </c>
      <c r="D445" s="434"/>
      <c r="E445" s="434"/>
      <c r="F445" s="466"/>
      <c r="G445" s="434"/>
      <c r="H445" s="434"/>
      <c r="I445" s="467"/>
      <c r="J445" s="223"/>
      <c r="K445" s="39">
        <f t="shared" si="33"/>
        <v>0</v>
      </c>
      <c r="L445" s="261">
        <f t="shared" si="34"/>
        <v>0</v>
      </c>
      <c r="M445" s="14"/>
    </row>
    <row r="446" spans="1:13" ht="72" customHeight="1" x14ac:dyDescent="0.3">
      <c r="A446" s="69"/>
      <c r="B446" s="8"/>
      <c r="C446" s="82" t="s">
        <v>455</v>
      </c>
      <c r="D446" s="274" t="s">
        <v>435</v>
      </c>
      <c r="E446" s="27" t="s">
        <v>23</v>
      </c>
      <c r="F446" s="75">
        <f>9.4*5</f>
        <v>47</v>
      </c>
      <c r="G446" s="29">
        <v>3371000</v>
      </c>
      <c r="H446" s="45">
        <v>0.8</v>
      </c>
      <c r="I446" s="102">
        <v>1.1479999999999999</v>
      </c>
      <c r="J446" s="223">
        <f t="shared" ref="J446:J455" si="38">ROUND(F446*G446*H446*I446,-3)</f>
        <v>145509000</v>
      </c>
      <c r="K446" s="39">
        <f t="shared" si="33"/>
        <v>145509000</v>
      </c>
      <c r="L446" s="261">
        <f t="shared" si="34"/>
        <v>0</v>
      </c>
      <c r="M446" s="14"/>
    </row>
    <row r="447" spans="1:13" ht="25.5" x14ac:dyDescent="0.3">
      <c r="A447" s="69"/>
      <c r="B447" s="8"/>
      <c r="C447" s="82" t="s">
        <v>456</v>
      </c>
      <c r="D447" s="271" t="s">
        <v>54</v>
      </c>
      <c r="E447" s="27" t="s">
        <v>23</v>
      </c>
      <c r="F447" s="72">
        <f>4.7*5.9</f>
        <v>27.730000000000004</v>
      </c>
      <c r="G447" s="46">
        <v>213000</v>
      </c>
      <c r="H447" s="45">
        <v>0.8</v>
      </c>
      <c r="I447" s="31">
        <v>1.1479999999999999</v>
      </c>
      <c r="J447" s="223">
        <f t="shared" si="38"/>
        <v>5425000</v>
      </c>
      <c r="K447" s="39">
        <f t="shared" si="33"/>
        <v>5425000</v>
      </c>
      <c r="L447" s="261">
        <f t="shared" si="34"/>
        <v>0</v>
      </c>
      <c r="M447" s="14"/>
    </row>
    <row r="448" spans="1:13" ht="25.5" x14ac:dyDescent="0.3">
      <c r="A448" s="69"/>
      <c r="B448" s="8"/>
      <c r="C448" s="82" t="s">
        <v>457</v>
      </c>
      <c r="D448" s="271" t="s">
        <v>54</v>
      </c>
      <c r="E448" s="27" t="s">
        <v>23</v>
      </c>
      <c r="F448" s="72">
        <f>4.7*3.3</f>
        <v>15.51</v>
      </c>
      <c r="G448" s="46">
        <v>213000</v>
      </c>
      <c r="H448" s="45">
        <v>0.8</v>
      </c>
      <c r="I448" s="57">
        <v>1.1479999999999999</v>
      </c>
      <c r="J448" s="223">
        <f t="shared" si="38"/>
        <v>3034000</v>
      </c>
      <c r="K448" s="39">
        <f t="shared" si="33"/>
        <v>3034000</v>
      </c>
      <c r="L448" s="261">
        <f t="shared" si="34"/>
        <v>0</v>
      </c>
      <c r="M448" s="158"/>
    </row>
    <row r="449" spans="1:13" ht="37.5" x14ac:dyDescent="0.3">
      <c r="A449" s="69"/>
      <c r="B449" s="8"/>
      <c r="C449" s="82" t="s">
        <v>458</v>
      </c>
      <c r="D449" s="270" t="s">
        <v>66</v>
      </c>
      <c r="E449" s="27" t="s">
        <v>23</v>
      </c>
      <c r="F449" s="89">
        <f>2*0.4+3.5*1</f>
        <v>4.3</v>
      </c>
      <c r="G449" s="29">
        <v>339000</v>
      </c>
      <c r="H449" s="45">
        <v>0.8</v>
      </c>
      <c r="I449" s="102">
        <v>1.1479999999999999</v>
      </c>
      <c r="J449" s="223">
        <f t="shared" si="38"/>
        <v>1339000</v>
      </c>
      <c r="K449" s="39">
        <f t="shared" si="33"/>
        <v>1339000</v>
      </c>
      <c r="L449" s="261">
        <f t="shared" si="34"/>
        <v>0</v>
      </c>
      <c r="M449" s="14"/>
    </row>
    <row r="450" spans="1:13" ht="38.25" x14ac:dyDescent="0.3">
      <c r="A450" s="69"/>
      <c r="B450" s="8"/>
      <c r="C450" s="82" t="s">
        <v>459</v>
      </c>
      <c r="D450" s="271" t="s">
        <v>32</v>
      </c>
      <c r="E450" s="27" t="s">
        <v>23</v>
      </c>
      <c r="F450" s="72">
        <f>4.1*5</f>
        <v>20.5</v>
      </c>
      <c r="G450" s="29">
        <v>215000</v>
      </c>
      <c r="H450" s="45">
        <v>0.8</v>
      </c>
      <c r="I450" s="31">
        <v>1.1479999999999999</v>
      </c>
      <c r="J450" s="223">
        <f t="shared" si="38"/>
        <v>4048000</v>
      </c>
      <c r="K450" s="39">
        <f t="shared" si="33"/>
        <v>4048000</v>
      </c>
      <c r="L450" s="261">
        <f t="shared" si="34"/>
        <v>0</v>
      </c>
      <c r="M450" s="14"/>
    </row>
    <row r="451" spans="1:13" ht="37.5" x14ac:dyDescent="0.3">
      <c r="A451" s="69"/>
      <c r="B451" s="8"/>
      <c r="C451" s="82" t="s">
        <v>460</v>
      </c>
      <c r="D451" s="270" t="s">
        <v>55</v>
      </c>
      <c r="E451" s="27" t="s">
        <v>23</v>
      </c>
      <c r="F451" s="72">
        <f>4.17*5</f>
        <v>20.85</v>
      </c>
      <c r="G451" s="29">
        <v>905000</v>
      </c>
      <c r="H451" s="45">
        <v>0.8</v>
      </c>
      <c r="I451" s="79">
        <v>1.1479999999999999</v>
      </c>
      <c r="J451" s="223">
        <f t="shared" si="38"/>
        <v>17330000</v>
      </c>
      <c r="K451" s="39">
        <f t="shared" si="33"/>
        <v>17330000</v>
      </c>
      <c r="L451" s="261">
        <f t="shared" si="34"/>
        <v>0</v>
      </c>
      <c r="M451" s="14"/>
    </row>
    <row r="452" spans="1:13" ht="38.25" x14ac:dyDescent="0.3">
      <c r="A452" s="69"/>
      <c r="B452" s="8"/>
      <c r="C452" s="82" t="s">
        <v>437</v>
      </c>
      <c r="D452" s="267" t="s">
        <v>24</v>
      </c>
      <c r="E452" s="8" t="s">
        <v>25</v>
      </c>
      <c r="F452" s="89">
        <f>0.6*4.7*0.15</f>
        <v>0.42299999999999999</v>
      </c>
      <c r="G452" s="29">
        <v>2828000</v>
      </c>
      <c r="H452" s="45">
        <v>0.8</v>
      </c>
      <c r="I452" s="31">
        <v>1.1479999999999999</v>
      </c>
      <c r="J452" s="223">
        <f t="shared" si="38"/>
        <v>1099000</v>
      </c>
      <c r="K452" s="39">
        <f t="shared" si="33"/>
        <v>1099000</v>
      </c>
      <c r="L452" s="261">
        <f t="shared" si="34"/>
        <v>0</v>
      </c>
      <c r="M452" s="14"/>
    </row>
    <row r="453" spans="1:13" ht="25.5" x14ac:dyDescent="0.3">
      <c r="A453" s="69"/>
      <c r="B453" s="8"/>
      <c r="C453" s="82" t="s">
        <v>461</v>
      </c>
      <c r="D453" s="271" t="s">
        <v>54</v>
      </c>
      <c r="E453" s="27" t="s">
        <v>23</v>
      </c>
      <c r="F453" s="72">
        <f>(1.2*2.2)*2</f>
        <v>5.28</v>
      </c>
      <c r="G453" s="46">
        <v>213000</v>
      </c>
      <c r="H453" s="45">
        <v>0.8</v>
      </c>
      <c r="I453" s="57">
        <v>1.1479999999999999</v>
      </c>
      <c r="J453" s="223">
        <f t="shared" si="38"/>
        <v>1033000</v>
      </c>
      <c r="K453" s="39">
        <f t="shared" si="33"/>
        <v>1033000</v>
      </c>
      <c r="L453" s="261">
        <f t="shared" si="34"/>
        <v>0</v>
      </c>
      <c r="M453" s="14"/>
    </row>
    <row r="454" spans="1:13" ht="25.5" x14ac:dyDescent="0.3">
      <c r="A454" s="69"/>
      <c r="B454" s="8"/>
      <c r="C454" s="82" t="s">
        <v>462</v>
      </c>
      <c r="D454" s="271" t="s">
        <v>864</v>
      </c>
      <c r="E454" s="27" t="s">
        <v>35</v>
      </c>
      <c r="F454" s="98">
        <v>1</v>
      </c>
      <c r="G454" s="29">
        <v>40910</v>
      </c>
      <c r="H454" s="50">
        <v>1</v>
      </c>
      <c r="I454" s="51">
        <v>1</v>
      </c>
      <c r="J454" s="223">
        <f t="shared" si="38"/>
        <v>41000</v>
      </c>
      <c r="K454" s="39">
        <f t="shared" si="33"/>
        <v>41000</v>
      </c>
      <c r="L454" s="261">
        <f t="shared" si="34"/>
        <v>0</v>
      </c>
      <c r="M454" s="14"/>
    </row>
    <row r="455" spans="1:13" ht="38.25" x14ac:dyDescent="0.3">
      <c r="A455" s="69"/>
      <c r="B455" s="8"/>
      <c r="C455" s="82" t="s">
        <v>111</v>
      </c>
      <c r="D455" s="271" t="s">
        <v>47</v>
      </c>
      <c r="E455" s="63" t="s">
        <v>45</v>
      </c>
      <c r="F455" s="77">
        <v>10</v>
      </c>
      <c r="G455" s="46">
        <v>28000</v>
      </c>
      <c r="H455" s="45">
        <v>0.8</v>
      </c>
      <c r="I455" s="31">
        <v>1.1479999999999999</v>
      </c>
      <c r="J455" s="223">
        <f t="shared" si="38"/>
        <v>257000</v>
      </c>
      <c r="K455" s="39">
        <f t="shared" ref="K455:K518" si="39">ROUND(F455*G455*H455*I455,-3)</f>
        <v>257000</v>
      </c>
      <c r="L455" s="261">
        <f t="shared" si="34"/>
        <v>0</v>
      </c>
      <c r="M455" s="14"/>
    </row>
    <row r="456" spans="1:13" ht="39.75" customHeight="1" x14ac:dyDescent="0.3">
      <c r="A456" s="149">
        <v>26</v>
      </c>
      <c r="B456" s="150" t="s">
        <v>19</v>
      </c>
      <c r="C456" s="455" t="s">
        <v>1103</v>
      </c>
      <c r="D456" s="456"/>
      <c r="E456" s="456"/>
      <c r="F456" s="468"/>
      <c r="G456" s="456"/>
      <c r="H456" s="456"/>
      <c r="I456" s="469"/>
      <c r="J456" s="221">
        <f>SUM(J457:J470)</f>
        <v>157194000</v>
      </c>
      <c r="K456" s="39">
        <f t="shared" si="39"/>
        <v>0</v>
      </c>
      <c r="L456" s="261">
        <f t="shared" ref="L456:L519" si="40">J456-K456</f>
        <v>157194000</v>
      </c>
      <c r="M456" s="24"/>
    </row>
    <row r="457" spans="1:13" ht="27.75" customHeight="1" x14ac:dyDescent="0.3">
      <c r="A457" s="69"/>
      <c r="B457" s="8"/>
      <c r="C457" s="433" t="s">
        <v>1089</v>
      </c>
      <c r="D457" s="434"/>
      <c r="E457" s="434"/>
      <c r="F457" s="466"/>
      <c r="G457" s="434"/>
      <c r="H457" s="434"/>
      <c r="I457" s="467"/>
      <c r="J457" s="223"/>
      <c r="K457" s="39">
        <f t="shared" si="39"/>
        <v>0</v>
      </c>
      <c r="L457" s="261">
        <f t="shared" si="40"/>
        <v>0</v>
      </c>
      <c r="M457" s="14"/>
    </row>
    <row r="458" spans="1:13" ht="72" customHeight="1" x14ac:dyDescent="0.3">
      <c r="A458" s="69"/>
      <c r="B458" s="8"/>
      <c r="C458" s="82" t="s">
        <v>463</v>
      </c>
      <c r="D458" s="274" t="s">
        <v>435</v>
      </c>
      <c r="E458" s="27" t="s">
        <v>23</v>
      </c>
      <c r="F458" s="75">
        <f>8.5*5</f>
        <v>42.5</v>
      </c>
      <c r="G458" s="29">
        <v>3371000</v>
      </c>
      <c r="H458" s="45">
        <v>0.8</v>
      </c>
      <c r="I458" s="102">
        <v>1.1479999999999999</v>
      </c>
      <c r="J458" s="223">
        <f t="shared" ref="J458:J470" si="41">ROUND(F458*G458*H458*I458,-3)</f>
        <v>131577000</v>
      </c>
      <c r="K458" s="39">
        <f t="shared" si="39"/>
        <v>131577000</v>
      </c>
      <c r="L458" s="261">
        <f t="shared" si="40"/>
        <v>0</v>
      </c>
      <c r="M458" s="14"/>
    </row>
    <row r="459" spans="1:13" ht="33.75" customHeight="1" x14ac:dyDescent="0.3">
      <c r="A459" s="69"/>
      <c r="B459" s="8"/>
      <c r="C459" s="82" t="s">
        <v>464</v>
      </c>
      <c r="D459" s="270" t="s">
        <v>52</v>
      </c>
      <c r="E459" s="71" t="s">
        <v>23</v>
      </c>
      <c r="F459" s="72">
        <f>6.8*4.7</f>
        <v>31.96</v>
      </c>
      <c r="G459" s="11" t="s">
        <v>53</v>
      </c>
      <c r="H459" s="45">
        <v>0.8</v>
      </c>
      <c r="I459" s="31">
        <v>1.1479999999999999</v>
      </c>
      <c r="J459" s="223">
        <f t="shared" si="41"/>
        <v>6927000</v>
      </c>
      <c r="K459" s="39">
        <f t="shared" si="39"/>
        <v>6927000</v>
      </c>
      <c r="L459" s="261">
        <f t="shared" si="40"/>
        <v>0</v>
      </c>
      <c r="M459" s="14"/>
    </row>
    <row r="460" spans="1:13" ht="25.5" x14ac:dyDescent="0.3">
      <c r="A460" s="69"/>
      <c r="B460" s="8"/>
      <c r="C460" s="82" t="s">
        <v>465</v>
      </c>
      <c r="D460" s="271" t="s">
        <v>54</v>
      </c>
      <c r="E460" s="27" t="s">
        <v>23</v>
      </c>
      <c r="F460" s="72">
        <f>4.1*4.7</f>
        <v>19.27</v>
      </c>
      <c r="G460" s="46">
        <v>213000</v>
      </c>
      <c r="H460" s="45">
        <v>0.8</v>
      </c>
      <c r="I460" s="31">
        <v>1.1479999999999999</v>
      </c>
      <c r="J460" s="223">
        <f t="shared" si="41"/>
        <v>3770000</v>
      </c>
      <c r="K460" s="39">
        <f t="shared" si="39"/>
        <v>3770000</v>
      </c>
      <c r="L460" s="261">
        <f t="shared" si="40"/>
        <v>0</v>
      </c>
      <c r="M460" s="158"/>
    </row>
    <row r="461" spans="1:13" ht="36.75" customHeight="1" x14ac:dyDescent="0.3">
      <c r="A461" s="69"/>
      <c r="B461" s="8"/>
      <c r="C461" s="82" t="s">
        <v>466</v>
      </c>
      <c r="D461" s="270" t="s">
        <v>66</v>
      </c>
      <c r="E461" s="27" t="s">
        <v>23</v>
      </c>
      <c r="F461" s="72">
        <f>4*0.75</f>
        <v>3</v>
      </c>
      <c r="G461" s="29">
        <v>339000</v>
      </c>
      <c r="H461" s="45">
        <v>0.8</v>
      </c>
      <c r="I461" s="31">
        <v>1.1479999999999999</v>
      </c>
      <c r="J461" s="223">
        <f t="shared" si="41"/>
        <v>934000</v>
      </c>
      <c r="K461" s="39">
        <f t="shared" si="39"/>
        <v>934000</v>
      </c>
      <c r="L461" s="261">
        <f t="shared" si="40"/>
        <v>0</v>
      </c>
      <c r="M461" s="14"/>
    </row>
    <row r="462" spans="1:13" ht="38.25" x14ac:dyDescent="0.3">
      <c r="A462" s="69"/>
      <c r="B462" s="8"/>
      <c r="C462" s="82" t="s">
        <v>437</v>
      </c>
      <c r="D462" s="267" t="s">
        <v>24</v>
      </c>
      <c r="E462" s="8" t="s">
        <v>25</v>
      </c>
      <c r="F462" s="89">
        <f>0.6*4.7*0.15</f>
        <v>0.42299999999999999</v>
      </c>
      <c r="G462" s="29">
        <v>2828000</v>
      </c>
      <c r="H462" s="45">
        <v>0.8</v>
      </c>
      <c r="I462" s="31">
        <v>1.1479999999999999</v>
      </c>
      <c r="J462" s="223">
        <f t="shared" si="41"/>
        <v>1099000</v>
      </c>
      <c r="K462" s="39">
        <f t="shared" si="39"/>
        <v>1099000</v>
      </c>
      <c r="L462" s="261">
        <f t="shared" si="40"/>
        <v>0</v>
      </c>
      <c r="M462" s="14"/>
    </row>
    <row r="463" spans="1:13" ht="38.25" x14ac:dyDescent="0.3">
      <c r="A463" s="69"/>
      <c r="B463" s="8"/>
      <c r="C463" s="82" t="s">
        <v>459</v>
      </c>
      <c r="D463" s="271" t="s">
        <v>32</v>
      </c>
      <c r="E463" s="27" t="s">
        <v>23</v>
      </c>
      <c r="F463" s="72">
        <f>4.1*5</f>
        <v>20.5</v>
      </c>
      <c r="G463" s="29">
        <v>215000</v>
      </c>
      <c r="H463" s="45">
        <v>0.8</v>
      </c>
      <c r="I463" s="31">
        <v>1.1479999999999999</v>
      </c>
      <c r="J463" s="223">
        <f t="shared" si="41"/>
        <v>4048000</v>
      </c>
      <c r="K463" s="39">
        <f t="shared" si="39"/>
        <v>4048000</v>
      </c>
      <c r="L463" s="261">
        <f t="shared" si="40"/>
        <v>0</v>
      </c>
      <c r="M463" s="14"/>
    </row>
    <row r="464" spans="1:13" ht="37.5" x14ac:dyDescent="0.3">
      <c r="A464" s="69"/>
      <c r="B464" s="8"/>
      <c r="C464" s="82" t="s">
        <v>836</v>
      </c>
      <c r="D464" s="270" t="s">
        <v>51</v>
      </c>
      <c r="E464" s="27" t="s">
        <v>23</v>
      </c>
      <c r="F464" s="72">
        <f>1.3*5</f>
        <v>6.5</v>
      </c>
      <c r="G464" s="29">
        <v>453000</v>
      </c>
      <c r="H464" s="45">
        <v>0.8</v>
      </c>
      <c r="I464" s="31">
        <v>1.1479999999999999</v>
      </c>
      <c r="J464" s="223">
        <f t="shared" si="41"/>
        <v>2704000</v>
      </c>
      <c r="K464" s="39">
        <f t="shared" si="39"/>
        <v>2704000</v>
      </c>
      <c r="L464" s="261">
        <f t="shared" si="40"/>
        <v>0</v>
      </c>
      <c r="M464" s="14"/>
    </row>
    <row r="465" spans="1:256" ht="39" customHeight="1" x14ac:dyDescent="0.3">
      <c r="A465" s="69"/>
      <c r="B465" s="8"/>
      <c r="C465" s="82" t="s">
        <v>467</v>
      </c>
      <c r="D465" s="270" t="s">
        <v>66</v>
      </c>
      <c r="E465" s="27" t="s">
        <v>23</v>
      </c>
      <c r="F465" s="75">
        <f>1.3*4.7</f>
        <v>6.11</v>
      </c>
      <c r="G465" s="29">
        <v>339000</v>
      </c>
      <c r="H465" s="45">
        <v>0.8</v>
      </c>
      <c r="I465" s="31">
        <v>1.1479999999999999</v>
      </c>
      <c r="J465" s="223">
        <f t="shared" si="41"/>
        <v>1902000</v>
      </c>
      <c r="K465" s="39">
        <f t="shared" si="39"/>
        <v>1902000</v>
      </c>
      <c r="L465" s="261">
        <f t="shared" si="40"/>
        <v>0</v>
      </c>
      <c r="M465" s="14"/>
    </row>
    <row r="466" spans="1:256" ht="39" customHeight="1" x14ac:dyDescent="0.3">
      <c r="A466" s="69"/>
      <c r="B466" s="8"/>
      <c r="C466" s="82" t="s">
        <v>468</v>
      </c>
      <c r="D466" s="270" t="s">
        <v>52</v>
      </c>
      <c r="E466" s="96" t="s">
        <v>91</v>
      </c>
      <c r="F466" s="72">
        <f>5*0.4</f>
        <v>2</v>
      </c>
      <c r="G466" s="11" t="s">
        <v>53</v>
      </c>
      <c r="H466" s="45">
        <v>0.8</v>
      </c>
      <c r="I466" s="31">
        <v>1.1479999999999999</v>
      </c>
      <c r="J466" s="223">
        <f t="shared" si="41"/>
        <v>433000</v>
      </c>
      <c r="K466" s="39">
        <f t="shared" si="39"/>
        <v>433000</v>
      </c>
      <c r="L466" s="261">
        <f t="shared" si="40"/>
        <v>0</v>
      </c>
      <c r="M466" s="14"/>
    </row>
    <row r="467" spans="1:256" ht="37.5" x14ac:dyDescent="0.3">
      <c r="A467" s="69"/>
      <c r="B467" s="8"/>
      <c r="C467" s="82" t="s">
        <v>469</v>
      </c>
      <c r="D467" s="270" t="s">
        <v>29</v>
      </c>
      <c r="E467" s="27" t="s">
        <v>23</v>
      </c>
      <c r="F467" s="72">
        <f>1.3*1.1+1.3*0.8</f>
        <v>2.4700000000000002</v>
      </c>
      <c r="G467" s="29">
        <v>792000</v>
      </c>
      <c r="H467" s="45">
        <v>0.8</v>
      </c>
      <c r="I467" s="31">
        <v>1.1479999999999999</v>
      </c>
      <c r="J467" s="223">
        <f t="shared" si="41"/>
        <v>1797000</v>
      </c>
      <c r="K467" s="39">
        <f t="shared" si="39"/>
        <v>1797000</v>
      </c>
      <c r="L467" s="261">
        <f t="shared" si="40"/>
        <v>0</v>
      </c>
      <c r="M467" s="14"/>
    </row>
    <row r="468" spans="1:256" ht="37.5" x14ac:dyDescent="0.3">
      <c r="A468" s="69"/>
      <c r="B468" s="8"/>
      <c r="C468" s="82" t="s">
        <v>470</v>
      </c>
      <c r="D468" s="270" t="s">
        <v>55</v>
      </c>
      <c r="E468" s="27" t="s">
        <v>23</v>
      </c>
      <c r="F468" s="72">
        <f>1.4*0.8</f>
        <v>1.1199999999999999</v>
      </c>
      <c r="G468" s="29">
        <v>905000</v>
      </c>
      <c r="H468" s="45">
        <v>0.8</v>
      </c>
      <c r="I468" s="79">
        <v>1.1479999999999999</v>
      </c>
      <c r="J468" s="223">
        <f t="shared" si="41"/>
        <v>931000</v>
      </c>
      <c r="K468" s="39">
        <f t="shared" si="39"/>
        <v>931000</v>
      </c>
      <c r="L468" s="261">
        <f t="shared" si="40"/>
        <v>0</v>
      </c>
      <c r="M468" s="14"/>
    </row>
    <row r="469" spans="1:256" ht="41.25" customHeight="1" x14ac:dyDescent="0.3">
      <c r="A469" s="69"/>
      <c r="B469" s="8"/>
      <c r="C469" s="82" t="s">
        <v>471</v>
      </c>
      <c r="D469" s="270" t="s">
        <v>52</v>
      </c>
      <c r="E469" s="27" t="s">
        <v>23</v>
      </c>
      <c r="F469" s="72">
        <f>4.7*0.8</f>
        <v>3.7600000000000002</v>
      </c>
      <c r="G469" s="11" t="s">
        <v>53</v>
      </c>
      <c r="H469" s="45">
        <v>0.8</v>
      </c>
      <c r="I469" s="79">
        <v>1.1479999999999999</v>
      </c>
      <c r="J469" s="223">
        <f t="shared" si="41"/>
        <v>815000</v>
      </c>
      <c r="K469" s="39">
        <f t="shared" si="39"/>
        <v>815000</v>
      </c>
      <c r="L469" s="261">
        <f t="shared" si="40"/>
        <v>0</v>
      </c>
      <c r="M469" s="14"/>
    </row>
    <row r="470" spans="1:256" ht="38.25" x14ac:dyDescent="0.3">
      <c r="A470" s="69"/>
      <c r="B470" s="8"/>
      <c r="C470" s="82" t="s">
        <v>111</v>
      </c>
      <c r="D470" s="271" t="s">
        <v>47</v>
      </c>
      <c r="E470" s="63" t="s">
        <v>45</v>
      </c>
      <c r="F470" s="77">
        <v>10</v>
      </c>
      <c r="G470" s="46">
        <v>28000</v>
      </c>
      <c r="H470" s="45">
        <v>0.8</v>
      </c>
      <c r="I470" s="31">
        <v>1.1479999999999999</v>
      </c>
      <c r="J470" s="223">
        <f t="shared" si="41"/>
        <v>257000</v>
      </c>
      <c r="K470" s="39">
        <f t="shared" si="39"/>
        <v>257000</v>
      </c>
      <c r="L470" s="261">
        <f t="shared" si="40"/>
        <v>0</v>
      </c>
      <c r="M470" s="14"/>
    </row>
    <row r="471" spans="1:256" ht="41.25" customHeight="1" x14ac:dyDescent="0.3">
      <c r="A471" s="149">
        <v>27</v>
      </c>
      <c r="B471" s="150" t="s">
        <v>1303</v>
      </c>
      <c r="C471" s="455" t="s">
        <v>1304</v>
      </c>
      <c r="D471" s="456"/>
      <c r="E471" s="456"/>
      <c r="F471" s="456"/>
      <c r="G471" s="456"/>
      <c r="H471" s="456"/>
      <c r="I471" s="457"/>
      <c r="J471" s="221">
        <f>SUM(J472)</f>
        <v>1510488000</v>
      </c>
      <c r="K471" s="39">
        <f t="shared" si="39"/>
        <v>0</v>
      </c>
      <c r="L471" s="334">
        <f t="shared" si="40"/>
        <v>1510488000</v>
      </c>
      <c r="M471" s="24"/>
    </row>
    <row r="472" spans="1:256" s="290" customFormat="1" ht="56.25" x14ac:dyDescent="0.3">
      <c r="A472" s="211"/>
      <c r="B472" s="17"/>
      <c r="C472" s="25" t="s">
        <v>1305</v>
      </c>
      <c r="D472" s="267" t="s">
        <v>112</v>
      </c>
      <c r="E472" s="27" t="s">
        <v>23</v>
      </c>
      <c r="F472" s="35">
        <v>97.2</v>
      </c>
      <c r="G472" s="49">
        <v>11100000</v>
      </c>
      <c r="H472" s="323">
        <v>1</v>
      </c>
      <c r="I472" s="268">
        <v>1.4</v>
      </c>
      <c r="J472" s="32">
        <f>ROUND(F472*G472*H472*I472,-3)</f>
        <v>1510488000</v>
      </c>
      <c r="K472" s="39">
        <f t="shared" si="39"/>
        <v>1510488000</v>
      </c>
      <c r="L472" s="262">
        <f t="shared" si="40"/>
        <v>0</v>
      </c>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c r="CB472" s="14"/>
      <c r="CC472" s="14"/>
      <c r="CD472" s="14"/>
      <c r="CE472" s="14"/>
      <c r="CF472" s="14"/>
      <c r="CG472" s="14"/>
      <c r="CH472" s="14"/>
      <c r="CI472" s="14"/>
      <c r="CJ472" s="14"/>
      <c r="CK472" s="14"/>
      <c r="CL472" s="14"/>
      <c r="CM472" s="14"/>
      <c r="CN472" s="14"/>
      <c r="CO472" s="14"/>
      <c r="CP472" s="14"/>
      <c r="CQ472" s="14"/>
      <c r="CR472" s="14"/>
      <c r="CS472" s="14"/>
      <c r="CT472" s="14"/>
      <c r="CU472" s="14"/>
      <c r="CV472" s="14"/>
      <c r="CW472" s="14"/>
      <c r="CX472" s="14"/>
      <c r="CY472" s="14"/>
      <c r="CZ472" s="14"/>
      <c r="DA472" s="14"/>
      <c r="DB472" s="14"/>
      <c r="DC472" s="14"/>
      <c r="DD472" s="14"/>
      <c r="DE472" s="14"/>
      <c r="DF472" s="14"/>
      <c r="DG472" s="14"/>
      <c r="DH472" s="14"/>
      <c r="DI472" s="14"/>
      <c r="DJ472" s="14"/>
      <c r="DK472" s="14"/>
      <c r="DL472" s="14"/>
      <c r="DM472" s="14"/>
      <c r="DN472" s="14"/>
      <c r="DO472" s="14"/>
      <c r="DP472" s="14"/>
      <c r="DQ472" s="14"/>
      <c r="DR472" s="14"/>
      <c r="DS472" s="14"/>
      <c r="DT472" s="14"/>
      <c r="DU472" s="14"/>
      <c r="DV472" s="14"/>
      <c r="DW472" s="14"/>
      <c r="DX472" s="14"/>
      <c r="DY472" s="14"/>
      <c r="DZ472" s="14"/>
      <c r="EA472" s="14"/>
      <c r="EB472" s="14"/>
      <c r="EC472" s="14"/>
      <c r="ED472" s="14"/>
      <c r="EE472" s="14"/>
      <c r="EF472" s="14"/>
      <c r="EG472" s="14"/>
      <c r="EH472" s="14"/>
      <c r="EI472" s="14"/>
      <c r="EJ472" s="14"/>
      <c r="EK472" s="14"/>
      <c r="EL472" s="14"/>
      <c r="EM472" s="14"/>
      <c r="EN472" s="14"/>
      <c r="EO472" s="14"/>
      <c r="EP472" s="14"/>
      <c r="EQ472" s="14"/>
      <c r="ER472" s="14"/>
      <c r="ES472" s="14"/>
      <c r="ET472" s="14"/>
      <c r="EU472" s="14"/>
      <c r="EV472" s="14"/>
      <c r="EW472" s="14"/>
      <c r="EX472" s="14"/>
      <c r="EY472" s="14"/>
      <c r="EZ472" s="14"/>
      <c r="FA472" s="14"/>
      <c r="FB472" s="14"/>
      <c r="FC472" s="14"/>
      <c r="FD472" s="14"/>
      <c r="FE472" s="14"/>
      <c r="FF472" s="14"/>
      <c r="FG472" s="14"/>
      <c r="FH472" s="14"/>
      <c r="FI472" s="14"/>
      <c r="FJ472" s="14"/>
      <c r="FK472" s="14"/>
      <c r="FL472" s="14"/>
      <c r="FM472" s="14"/>
      <c r="FN472" s="14"/>
      <c r="FO472" s="14"/>
      <c r="FP472" s="14"/>
      <c r="FQ472" s="14"/>
      <c r="FR472" s="14"/>
      <c r="FS472" s="14"/>
      <c r="FT472" s="14"/>
      <c r="FU472" s="14"/>
      <c r="FV472" s="14"/>
      <c r="FW472" s="14"/>
      <c r="FX472" s="14"/>
      <c r="FY472" s="14"/>
      <c r="FZ472" s="14"/>
      <c r="GA472" s="14"/>
      <c r="GB472" s="14"/>
      <c r="GC472" s="14"/>
      <c r="GD472" s="14"/>
      <c r="GE472" s="14"/>
      <c r="GF472" s="14"/>
      <c r="GG472" s="14"/>
      <c r="GH472" s="14"/>
      <c r="GI472" s="14"/>
      <c r="GJ472" s="14"/>
      <c r="GK472" s="14"/>
      <c r="GL472" s="14"/>
      <c r="GM472" s="14"/>
      <c r="GN472" s="14"/>
      <c r="GO472" s="14"/>
      <c r="GP472" s="14"/>
      <c r="GQ472" s="14"/>
      <c r="GR472" s="14"/>
      <c r="GS472" s="14"/>
      <c r="GT472" s="14"/>
      <c r="GU472" s="14"/>
      <c r="GV472" s="14"/>
      <c r="GW472" s="14"/>
      <c r="GX472" s="14"/>
      <c r="GY472" s="14"/>
      <c r="GZ472" s="14"/>
      <c r="HA472" s="14"/>
      <c r="HB472" s="14"/>
      <c r="HC472" s="14"/>
      <c r="HD472" s="14"/>
      <c r="HE472" s="14"/>
      <c r="HF472" s="14"/>
      <c r="HG472" s="14"/>
      <c r="HH472" s="14"/>
      <c r="HI472" s="14"/>
      <c r="HJ472" s="14"/>
      <c r="HK472" s="14"/>
      <c r="HL472" s="14"/>
      <c r="HM472" s="14"/>
      <c r="HN472" s="14"/>
      <c r="HO472" s="14"/>
      <c r="HP472" s="14"/>
      <c r="HQ472" s="14"/>
      <c r="HR472" s="14"/>
      <c r="HS472" s="14"/>
      <c r="HT472" s="14"/>
      <c r="HU472" s="14"/>
      <c r="HV472" s="14"/>
      <c r="HW472" s="14"/>
      <c r="HX472" s="14"/>
      <c r="HY472" s="14"/>
      <c r="HZ472" s="14"/>
      <c r="IA472" s="14"/>
      <c r="IB472" s="14"/>
      <c r="IC472" s="14"/>
      <c r="ID472" s="14"/>
      <c r="IE472" s="14"/>
      <c r="IF472" s="14"/>
      <c r="IG472" s="14"/>
      <c r="IH472" s="14"/>
      <c r="II472" s="14"/>
      <c r="IJ472" s="14"/>
      <c r="IK472" s="14"/>
      <c r="IL472" s="14"/>
      <c r="IM472" s="14"/>
      <c r="IN472" s="14"/>
      <c r="IO472" s="14"/>
      <c r="IP472" s="14"/>
      <c r="IQ472" s="14"/>
      <c r="IR472" s="14"/>
      <c r="IS472" s="14"/>
      <c r="IT472" s="14"/>
      <c r="IU472" s="14"/>
      <c r="IV472" s="14"/>
    </row>
    <row r="473" spans="1:256" ht="90" customHeight="1" x14ac:dyDescent="0.25">
      <c r="A473" s="67"/>
      <c r="B473" s="68"/>
      <c r="C473" s="25" t="s">
        <v>1062</v>
      </c>
      <c r="D473" s="267" t="s">
        <v>112</v>
      </c>
      <c r="E473" s="27" t="s">
        <v>23</v>
      </c>
      <c r="F473" s="35">
        <v>19</v>
      </c>
      <c r="G473" s="464" t="s">
        <v>1063</v>
      </c>
      <c r="H473" s="464"/>
      <c r="I473" s="465"/>
      <c r="J473" s="227"/>
      <c r="K473" s="39"/>
      <c r="L473" s="261">
        <f t="shared" si="40"/>
        <v>0</v>
      </c>
      <c r="M473" s="251"/>
    </row>
    <row r="474" spans="1:256" ht="48" customHeight="1" x14ac:dyDescent="0.3">
      <c r="A474" s="149" t="s">
        <v>1551</v>
      </c>
      <c r="B474" s="150" t="s">
        <v>1306</v>
      </c>
      <c r="C474" s="455" t="s">
        <v>1307</v>
      </c>
      <c r="D474" s="456"/>
      <c r="E474" s="456"/>
      <c r="F474" s="456"/>
      <c r="G474" s="456"/>
      <c r="H474" s="456"/>
      <c r="I474" s="457"/>
      <c r="J474" s="221">
        <f>SUM(J475:J484)</f>
        <v>118938000</v>
      </c>
      <c r="K474" s="39">
        <f t="shared" si="39"/>
        <v>0</v>
      </c>
      <c r="L474" s="261">
        <f t="shared" si="40"/>
        <v>118938000</v>
      </c>
      <c r="M474" s="335"/>
    </row>
    <row r="475" spans="1:256" ht="35.25" customHeight="1" x14ac:dyDescent="0.3">
      <c r="A475" s="69"/>
      <c r="B475" s="8"/>
      <c r="C475" s="433" t="s">
        <v>1308</v>
      </c>
      <c r="D475" s="434"/>
      <c r="E475" s="434"/>
      <c r="F475" s="466"/>
      <c r="G475" s="434"/>
      <c r="H475" s="434"/>
      <c r="I475" s="467"/>
      <c r="J475" s="223"/>
      <c r="K475" s="39">
        <f t="shared" si="39"/>
        <v>0</v>
      </c>
      <c r="L475" s="261">
        <f t="shared" si="40"/>
        <v>0</v>
      </c>
      <c r="M475" s="14"/>
    </row>
    <row r="476" spans="1:256" s="169" customFormat="1" ht="81" customHeight="1" x14ac:dyDescent="0.3">
      <c r="A476" s="93"/>
      <c r="B476" s="94"/>
      <c r="C476" s="70" t="s">
        <v>1309</v>
      </c>
      <c r="D476" s="274" t="s">
        <v>85</v>
      </c>
      <c r="E476" s="22" t="s">
        <v>23</v>
      </c>
      <c r="F476" s="99">
        <f>7*3.4</f>
        <v>23.8</v>
      </c>
      <c r="G476" s="100">
        <v>2247000</v>
      </c>
      <c r="H476" s="45">
        <v>1</v>
      </c>
      <c r="I476" s="102">
        <v>1.1479999999999999</v>
      </c>
      <c r="J476" s="222">
        <f t="shared" ref="J476:J484" si="42">ROUND(F476*G476*H476*I476,-3)</f>
        <v>61393000</v>
      </c>
      <c r="K476" s="39">
        <f t="shared" si="39"/>
        <v>61393000</v>
      </c>
      <c r="L476" s="261">
        <f t="shared" si="40"/>
        <v>0</v>
      </c>
      <c r="M476" s="24"/>
    </row>
    <row r="477" spans="1:256" ht="36.75" customHeight="1" x14ac:dyDescent="0.3">
      <c r="A477" s="69"/>
      <c r="B477" s="8"/>
      <c r="C477" s="82" t="s">
        <v>1310</v>
      </c>
      <c r="D477" s="270" t="s">
        <v>101</v>
      </c>
      <c r="E477" s="71" t="s">
        <v>23</v>
      </c>
      <c r="F477" s="75">
        <f>3.1*3.2</f>
        <v>9.9200000000000017</v>
      </c>
      <c r="G477" s="29">
        <v>339000</v>
      </c>
      <c r="H477" s="45">
        <v>1</v>
      </c>
      <c r="I477" s="31">
        <v>1.1479999999999999</v>
      </c>
      <c r="J477" s="223">
        <f t="shared" si="42"/>
        <v>3861000</v>
      </c>
      <c r="K477" s="39">
        <f t="shared" si="39"/>
        <v>3861000</v>
      </c>
      <c r="L477" s="261">
        <f t="shared" si="40"/>
        <v>0</v>
      </c>
      <c r="M477" s="158"/>
    </row>
    <row r="478" spans="1:256" ht="37.5" x14ac:dyDescent="0.3">
      <c r="A478" s="69"/>
      <c r="B478" s="8"/>
      <c r="C478" s="82" t="s">
        <v>1311</v>
      </c>
      <c r="D478" s="270" t="s">
        <v>51</v>
      </c>
      <c r="E478" s="27" t="s">
        <v>23</v>
      </c>
      <c r="F478" s="72">
        <f>8.9*4.3+1.5*4.3+3.4*1.2</f>
        <v>48.8</v>
      </c>
      <c r="G478" s="29">
        <v>453000</v>
      </c>
      <c r="H478" s="45">
        <v>1</v>
      </c>
      <c r="I478" s="31">
        <v>1.1479999999999999</v>
      </c>
      <c r="J478" s="223">
        <f t="shared" si="42"/>
        <v>25378000</v>
      </c>
      <c r="K478" s="39">
        <f t="shared" si="39"/>
        <v>25378000</v>
      </c>
      <c r="L478" s="261">
        <f t="shared" si="40"/>
        <v>0</v>
      </c>
      <c r="M478" s="14"/>
    </row>
    <row r="479" spans="1:256" ht="38.25" x14ac:dyDescent="0.3">
      <c r="A479" s="69"/>
      <c r="B479" s="8"/>
      <c r="C479" s="82" t="s">
        <v>1312</v>
      </c>
      <c r="D479" s="271" t="s">
        <v>32</v>
      </c>
      <c r="E479" s="27" t="s">
        <v>23</v>
      </c>
      <c r="F479" s="72">
        <f>8.9*4.3</f>
        <v>38.270000000000003</v>
      </c>
      <c r="G479" s="29">
        <v>215000</v>
      </c>
      <c r="H479" s="45">
        <v>1</v>
      </c>
      <c r="I479" s="31">
        <v>1.1479999999999999</v>
      </c>
      <c r="J479" s="223">
        <f t="shared" si="42"/>
        <v>9446000</v>
      </c>
      <c r="K479" s="39">
        <f t="shared" si="39"/>
        <v>9446000</v>
      </c>
      <c r="L479" s="261">
        <f t="shared" si="40"/>
        <v>0</v>
      </c>
      <c r="M479" s="14"/>
    </row>
    <row r="480" spans="1:256" ht="38.25" x14ac:dyDescent="0.3">
      <c r="A480" s="69"/>
      <c r="B480" s="8"/>
      <c r="C480" s="82" t="s">
        <v>1313</v>
      </c>
      <c r="D480" s="271" t="s">
        <v>32</v>
      </c>
      <c r="E480" s="27" t="s">
        <v>23</v>
      </c>
      <c r="F480" s="72">
        <f>7.7*4.5</f>
        <v>34.65</v>
      </c>
      <c r="G480" s="29">
        <v>215000</v>
      </c>
      <c r="H480" s="45">
        <v>0.8</v>
      </c>
      <c r="I480" s="31">
        <v>1.1479999999999999</v>
      </c>
      <c r="J480" s="223">
        <f t="shared" si="42"/>
        <v>6842000</v>
      </c>
      <c r="K480" s="39">
        <f t="shared" si="39"/>
        <v>6842000</v>
      </c>
      <c r="L480" s="261">
        <f t="shared" si="40"/>
        <v>0</v>
      </c>
      <c r="M480" s="14"/>
    </row>
    <row r="481" spans="1:13" ht="25.5" x14ac:dyDescent="0.3">
      <c r="A481" s="69"/>
      <c r="B481" s="8"/>
      <c r="C481" s="82" t="s">
        <v>1314</v>
      </c>
      <c r="D481" s="271" t="s">
        <v>54</v>
      </c>
      <c r="E481" s="27" t="s">
        <v>23</v>
      </c>
      <c r="F481" s="72">
        <f>4.3*3</f>
        <v>12.899999999999999</v>
      </c>
      <c r="G481" s="46">
        <v>213000</v>
      </c>
      <c r="H481" s="45">
        <v>1</v>
      </c>
      <c r="I481" s="79">
        <v>1.1479999999999999</v>
      </c>
      <c r="J481" s="223">
        <f t="shared" si="42"/>
        <v>3154000</v>
      </c>
      <c r="K481" s="39">
        <f t="shared" si="39"/>
        <v>3154000</v>
      </c>
      <c r="L481" s="261">
        <f t="shared" si="40"/>
        <v>0</v>
      </c>
      <c r="M481" s="14"/>
    </row>
    <row r="482" spans="1:13" ht="38.25" x14ac:dyDescent="0.3">
      <c r="A482" s="69"/>
      <c r="B482" s="8"/>
      <c r="C482" s="82" t="s">
        <v>1315</v>
      </c>
      <c r="D482" s="267" t="s">
        <v>207</v>
      </c>
      <c r="E482" s="71" t="s">
        <v>23</v>
      </c>
      <c r="F482" s="72">
        <f>4.3*3</f>
        <v>12.899999999999999</v>
      </c>
      <c r="G482" s="29">
        <v>566000</v>
      </c>
      <c r="H482" s="45">
        <v>1</v>
      </c>
      <c r="I482" s="31">
        <v>1.1479999999999999</v>
      </c>
      <c r="J482" s="223">
        <f t="shared" si="42"/>
        <v>8382000</v>
      </c>
      <c r="K482" s="39">
        <f t="shared" si="39"/>
        <v>8382000</v>
      </c>
      <c r="L482" s="261">
        <f t="shared" si="40"/>
        <v>0</v>
      </c>
      <c r="M482" s="14"/>
    </row>
    <row r="483" spans="1:13" ht="38.25" x14ac:dyDescent="0.3">
      <c r="A483" s="69"/>
      <c r="B483" s="8"/>
      <c r="C483" s="82" t="s">
        <v>1242</v>
      </c>
      <c r="D483" s="273" t="s">
        <v>44</v>
      </c>
      <c r="E483" s="63" t="s">
        <v>45</v>
      </c>
      <c r="F483" s="77">
        <v>7.5</v>
      </c>
      <c r="G483" s="46">
        <v>28000</v>
      </c>
      <c r="H483" s="45">
        <v>1</v>
      </c>
      <c r="I483" s="31">
        <v>1.1479999999999999</v>
      </c>
      <c r="J483" s="223">
        <f t="shared" si="42"/>
        <v>241000</v>
      </c>
      <c r="K483" s="39">
        <f t="shared" si="39"/>
        <v>241000</v>
      </c>
      <c r="L483" s="261">
        <f t="shared" si="40"/>
        <v>0</v>
      </c>
      <c r="M483" s="14"/>
    </row>
    <row r="484" spans="1:13" ht="38.25" x14ac:dyDescent="0.3">
      <c r="A484" s="69"/>
      <c r="B484" s="8"/>
      <c r="C484" s="82" t="s">
        <v>211</v>
      </c>
      <c r="D484" s="271" t="s">
        <v>47</v>
      </c>
      <c r="E484" s="63" t="s">
        <v>45</v>
      </c>
      <c r="F484" s="77">
        <v>7.5</v>
      </c>
      <c r="G484" s="46">
        <v>28000</v>
      </c>
      <c r="H484" s="45">
        <v>1</v>
      </c>
      <c r="I484" s="31">
        <v>1.1479999999999999</v>
      </c>
      <c r="J484" s="223">
        <f t="shared" si="42"/>
        <v>241000</v>
      </c>
      <c r="K484" s="39">
        <f t="shared" si="39"/>
        <v>241000</v>
      </c>
      <c r="L484" s="261">
        <f t="shared" si="40"/>
        <v>0</v>
      </c>
      <c r="M484" s="14"/>
    </row>
    <row r="485" spans="1:13" ht="49.5" customHeight="1" x14ac:dyDescent="0.3">
      <c r="A485" s="149" t="s">
        <v>1552</v>
      </c>
      <c r="B485" s="150" t="s">
        <v>1316</v>
      </c>
      <c r="C485" s="455" t="s">
        <v>1317</v>
      </c>
      <c r="D485" s="456"/>
      <c r="E485" s="456"/>
      <c r="F485" s="456"/>
      <c r="G485" s="456"/>
      <c r="H485" s="456"/>
      <c r="I485" s="457"/>
      <c r="J485" s="221">
        <f>SUM(J486:J496)</f>
        <v>160908000</v>
      </c>
      <c r="K485" s="39">
        <f t="shared" si="39"/>
        <v>0</v>
      </c>
      <c r="L485" s="261">
        <f t="shared" ref="L485:L502" si="43">J485-K485</f>
        <v>160908000</v>
      </c>
      <c r="M485" s="335"/>
    </row>
    <row r="486" spans="1:13" ht="27" customHeight="1" x14ac:dyDescent="0.3">
      <c r="A486" s="69"/>
      <c r="B486" s="8"/>
      <c r="C486" s="433" t="s">
        <v>1308</v>
      </c>
      <c r="D486" s="434"/>
      <c r="E486" s="434"/>
      <c r="F486" s="466"/>
      <c r="G486" s="434"/>
      <c r="H486" s="434"/>
      <c r="I486" s="467"/>
      <c r="J486" s="223"/>
      <c r="K486" s="39">
        <f t="shared" si="39"/>
        <v>0</v>
      </c>
      <c r="L486" s="263"/>
      <c r="M486" s="14"/>
    </row>
    <row r="487" spans="1:13" ht="78" customHeight="1" x14ac:dyDescent="0.3">
      <c r="A487" s="69"/>
      <c r="B487" s="8"/>
      <c r="C487" s="82" t="s">
        <v>1318</v>
      </c>
      <c r="D487" s="274" t="s">
        <v>148</v>
      </c>
      <c r="E487" s="27" t="s">
        <v>23</v>
      </c>
      <c r="F487" s="75">
        <f>3.5*8.5</f>
        <v>29.75</v>
      </c>
      <c r="G487" s="29">
        <v>3564000</v>
      </c>
      <c r="H487" s="45">
        <v>1</v>
      </c>
      <c r="I487" s="102">
        <v>1.1479999999999999</v>
      </c>
      <c r="J487" s="223">
        <f t="shared" ref="J487:J496" si="44">ROUND(F487*G487*H487*I487,-3)</f>
        <v>121721000</v>
      </c>
      <c r="K487" s="39">
        <f t="shared" si="39"/>
        <v>121721000</v>
      </c>
      <c r="L487" s="336">
        <f t="shared" si="43"/>
        <v>0</v>
      </c>
      <c r="M487" s="14"/>
    </row>
    <row r="488" spans="1:13" ht="37.5" customHeight="1" x14ac:dyDescent="0.3">
      <c r="A488" s="69"/>
      <c r="B488" s="8"/>
      <c r="C488" s="82" t="s">
        <v>1319</v>
      </c>
      <c r="D488" s="270" t="s">
        <v>52</v>
      </c>
      <c r="E488" s="71" t="s">
        <v>23</v>
      </c>
      <c r="F488" s="72">
        <f>6.5*3.3+5.8*3.3</f>
        <v>40.589999999999996</v>
      </c>
      <c r="G488" s="11" t="s">
        <v>53</v>
      </c>
      <c r="H488" s="45">
        <v>1</v>
      </c>
      <c r="I488" s="31">
        <v>1.1479999999999999</v>
      </c>
      <c r="J488" s="223">
        <f t="shared" si="44"/>
        <v>10997000</v>
      </c>
      <c r="K488" s="39">
        <f t="shared" si="39"/>
        <v>10997000</v>
      </c>
      <c r="L488" s="337">
        <f t="shared" si="43"/>
        <v>0</v>
      </c>
      <c r="M488" s="158"/>
    </row>
    <row r="489" spans="1:13" ht="37.5" customHeight="1" x14ac:dyDescent="0.3">
      <c r="A489" s="69"/>
      <c r="B489" s="8"/>
      <c r="C489" s="82" t="s">
        <v>1320</v>
      </c>
      <c r="D489" s="271" t="s">
        <v>225</v>
      </c>
      <c r="E489" s="96" t="s">
        <v>91</v>
      </c>
      <c r="F489" s="72">
        <f>6*3.5</f>
        <v>21</v>
      </c>
      <c r="G489" s="29">
        <v>527000</v>
      </c>
      <c r="H489" s="338">
        <v>1</v>
      </c>
      <c r="I489" s="151">
        <v>1.1479999999999999</v>
      </c>
      <c r="J489" s="223">
        <f t="shared" si="44"/>
        <v>12705000</v>
      </c>
      <c r="K489" s="39">
        <f t="shared" si="39"/>
        <v>12705000</v>
      </c>
      <c r="L489" s="339">
        <f t="shared" si="43"/>
        <v>0</v>
      </c>
      <c r="M489" s="137" t="s">
        <v>1321</v>
      </c>
    </row>
    <row r="490" spans="1:13" ht="37.5" customHeight="1" x14ac:dyDescent="0.3">
      <c r="A490" s="69"/>
      <c r="B490" s="8"/>
      <c r="C490" s="82" t="s">
        <v>1322</v>
      </c>
      <c r="D490" s="272" t="s">
        <v>33</v>
      </c>
      <c r="E490" s="27" t="s">
        <v>23</v>
      </c>
      <c r="F490" s="89">
        <f>3.5*0.8</f>
        <v>2.8000000000000003</v>
      </c>
      <c r="G490" s="29">
        <v>453000</v>
      </c>
      <c r="H490" s="45">
        <v>1</v>
      </c>
      <c r="I490" s="31">
        <v>1.1479999999999999</v>
      </c>
      <c r="J490" s="223">
        <f t="shared" si="44"/>
        <v>1456000</v>
      </c>
      <c r="K490" s="39">
        <f t="shared" si="39"/>
        <v>1456000</v>
      </c>
      <c r="L490" s="339">
        <f t="shared" si="43"/>
        <v>0</v>
      </c>
      <c r="M490" s="14"/>
    </row>
    <row r="491" spans="1:13" ht="37.5" customHeight="1" x14ac:dyDescent="0.3">
      <c r="A491" s="69"/>
      <c r="B491" s="8"/>
      <c r="C491" s="82" t="s">
        <v>1323</v>
      </c>
      <c r="D491" s="272" t="s">
        <v>33</v>
      </c>
      <c r="E491" s="27" t="s">
        <v>23</v>
      </c>
      <c r="F491" s="89">
        <f>13.5*1</f>
        <v>13.5</v>
      </c>
      <c r="G491" s="29">
        <v>453000</v>
      </c>
      <c r="H491" s="45">
        <v>1</v>
      </c>
      <c r="I491" s="31">
        <v>1.1479999999999999</v>
      </c>
      <c r="J491" s="223">
        <f t="shared" si="44"/>
        <v>7021000</v>
      </c>
      <c r="K491" s="39">
        <f t="shared" si="39"/>
        <v>7021000</v>
      </c>
      <c r="L491" s="339">
        <f t="shared" si="43"/>
        <v>0</v>
      </c>
      <c r="M491" s="14"/>
    </row>
    <row r="492" spans="1:13" ht="25.5" x14ac:dyDescent="0.3">
      <c r="A492" s="69"/>
      <c r="B492" s="8"/>
      <c r="C492" s="82" t="s">
        <v>1324</v>
      </c>
      <c r="D492" s="270" t="s">
        <v>31</v>
      </c>
      <c r="E492" s="27" t="s">
        <v>23</v>
      </c>
      <c r="F492" s="75">
        <f>0.9*3.5</f>
        <v>3.15</v>
      </c>
      <c r="G492" s="29">
        <v>339000</v>
      </c>
      <c r="H492" s="45">
        <v>0.8</v>
      </c>
      <c r="I492" s="31">
        <v>1.1479999999999999</v>
      </c>
      <c r="J492" s="223">
        <f t="shared" si="44"/>
        <v>981000</v>
      </c>
      <c r="K492" s="39">
        <f t="shared" si="39"/>
        <v>981000</v>
      </c>
      <c r="L492" s="339">
        <f t="shared" si="43"/>
        <v>0</v>
      </c>
      <c r="M492" s="14"/>
    </row>
    <row r="493" spans="1:13" ht="38.25" x14ac:dyDescent="0.3">
      <c r="A493" s="69"/>
      <c r="B493" s="8"/>
      <c r="C493" s="82" t="s">
        <v>1325</v>
      </c>
      <c r="D493" s="271" t="s">
        <v>32</v>
      </c>
      <c r="E493" s="27" t="s">
        <v>23</v>
      </c>
      <c r="F493" s="72">
        <f>4.5*3.5</f>
        <v>15.75</v>
      </c>
      <c r="G493" s="29">
        <v>215000</v>
      </c>
      <c r="H493" s="45">
        <v>0.8</v>
      </c>
      <c r="I493" s="31">
        <v>1.1479999999999999</v>
      </c>
      <c r="J493" s="223">
        <f t="shared" si="44"/>
        <v>3110000</v>
      </c>
      <c r="K493" s="39">
        <f t="shared" si="39"/>
        <v>3110000</v>
      </c>
      <c r="L493" s="339">
        <f t="shared" si="43"/>
        <v>0</v>
      </c>
      <c r="M493" s="14"/>
    </row>
    <row r="494" spans="1:13" ht="37.5" x14ac:dyDescent="0.3">
      <c r="A494" s="69"/>
      <c r="B494" s="8"/>
      <c r="C494" s="82" t="s">
        <v>1326</v>
      </c>
      <c r="D494" s="270" t="s">
        <v>51</v>
      </c>
      <c r="E494" s="27" t="s">
        <v>23</v>
      </c>
      <c r="F494" s="72">
        <f>3.5*1</f>
        <v>3.5</v>
      </c>
      <c r="G494" s="29">
        <v>453000</v>
      </c>
      <c r="H494" s="45">
        <v>1</v>
      </c>
      <c r="I494" s="31">
        <v>1.1479999999999999</v>
      </c>
      <c r="J494" s="223">
        <f t="shared" si="44"/>
        <v>1820000</v>
      </c>
      <c r="K494" s="39">
        <f t="shared" si="39"/>
        <v>1820000</v>
      </c>
      <c r="L494" s="339">
        <f t="shared" si="43"/>
        <v>0</v>
      </c>
      <c r="M494" s="14"/>
    </row>
    <row r="495" spans="1:13" ht="25.5" x14ac:dyDescent="0.3">
      <c r="A495" s="69"/>
      <c r="B495" s="8"/>
      <c r="C495" s="82" t="s">
        <v>1327</v>
      </c>
      <c r="D495" s="271" t="s">
        <v>54</v>
      </c>
      <c r="E495" s="27" t="s">
        <v>23</v>
      </c>
      <c r="F495" s="72">
        <f>3.5*1</f>
        <v>3.5</v>
      </c>
      <c r="G495" s="46">
        <v>213000</v>
      </c>
      <c r="H495" s="45">
        <v>1</v>
      </c>
      <c r="I495" s="57">
        <v>1.1479999999999999</v>
      </c>
      <c r="J495" s="223">
        <f t="shared" si="44"/>
        <v>856000</v>
      </c>
      <c r="K495" s="39">
        <f t="shared" si="39"/>
        <v>856000</v>
      </c>
      <c r="L495" s="261">
        <f t="shared" si="43"/>
        <v>0</v>
      </c>
      <c r="M495" s="14"/>
    </row>
    <row r="496" spans="1:13" ht="38.25" x14ac:dyDescent="0.3">
      <c r="A496" s="69"/>
      <c r="B496" s="8"/>
      <c r="C496" s="82" t="s">
        <v>211</v>
      </c>
      <c r="D496" s="271" t="s">
        <v>47</v>
      </c>
      <c r="E496" s="63" t="s">
        <v>45</v>
      </c>
      <c r="F496" s="77">
        <v>7.5</v>
      </c>
      <c r="G496" s="46">
        <v>28000</v>
      </c>
      <c r="H496" s="45">
        <v>1</v>
      </c>
      <c r="I496" s="31">
        <v>1.1479999999999999</v>
      </c>
      <c r="J496" s="223">
        <f t="shared" si="44"/>
        <v>241000</v>
      </c>
      <c r="K496" s="39">
        <f t="shared" si="39"/>
        <v>241000</v>
      </c>
      <c r="L496" s="261">
        <f t="shared" si="43"/>
        <v>0</v>
      </c>
      <c r="M496" s="14"/>
    </row>
    <row r="497" spans="1:13" ht="57" customHeight="1" x14ac:dyDescent="0.3">
      <c r="A497" s="149" t="s">
        <v>1553</v>
      </c>
      <c r="B497" s="150" t="s">
        <v>1328</v>
      </c>
      <c r="C497" s="455" t="s">
        <v>1329</v>
      </c>
      <c r="D497" s="456"/>
      <c r="E497" s="456"/>
      <c r="F497" s="456"/>
      <c r="G497" s="456"/>
      <c r="H497" s="456"/>
      <c r="I497" s="457"/>
      <c r="J497" s="221">
        <f>SUM(J498:J513)</f>
        <v>325824000</v>
      </c>
      <c r="K497" s="39">
        <f t="shared" si="39"/>
        <v>0</v>
      </c>
      <c r="L497" s="261">
        <f t="shared" si="43"/>
        <v>325824000</v>
      </c>
      <c r="M497" s="335"/>
    </row>
    <row r="498" spans="1:13" ht="45" customHeight="1" x14ac:dyDescent="0.3">
      <c r="A498" s="69"/>
      <c r="B498" s="8"/>
      <c r="C498" s="433" t="s">
        <v>1308</v>
      </c>
      <c r="D498" s="434"/>
      <c r="E498" s="434"/>
      <c r="F498" s="466"/>
      <c r="G498" s="434"/>
      <c r="H498" s="434"/>
      <c r="I498" s="467"/>
      <c r="J498" s="223"/>
      <c r="K498" s="39">
        <f t="shared" si="39"/>
        <v>0</v>
      </c>
      <c r="L498" s="261">
        <f t="shared" si="43"/>
        <v>0</v>
      </c>
      <c r="M498" s="14"/>
    </row>
    <row r="499" spans="1:13" ht="72" customHeight="1" x14ac:dyDescent="0.3">
      <c r="A499" s="69"/>
      <c r="B499" s="8"/>
      <c r="C499" s="82" t="s">
        <v>1330</v>
      </c>
      <c r="D499" s="274" t="s">
        <v>1331</v>
      </c>
      <c r="E499" s="27" t="s">
        <v>23</v>
      </c>
      <c r="F499" s="75">
        <f>4.2*10.9</f>
        <v>45.78</v>
      </c>
      <c r="G499" s="29">
        <v>4758000</v>
      </c>
      <c r="H499" s="45">
        <v>1</v>
      </c>
      <c r="I499" s="102">
        <v>1.1479999999999999</v>
      </c>
      <c r="J499" s="223">
        <f t="shared" ref="J499:J513" si="45">ROUND(F499*G499*H499*I499,-3)</f>
        <v>250059000</v>
      </c>
      <c r="K499" s="39">
        <f t="shared" si="39"/>
        <v>250059000</v>
      </c>
      <c r="L499" s="261">
        <f t="shared" si="43"/>
        <v>0</v>
      </c>
      <c r="M499" s="14"/>
    </row>
    <row r="500" spans="1:13" ht="36" customHeight="1" x14ac:dyDescent="0.3">
      <c r="A500" s="69"/>
      <c r="B500" s="8"/>
      <c r="C500" s="82" t="s">
        <v>1332</v>
      </c>
      <c r="D500" s="271" t="s">
        <v>54</v>
      </c>
      <c r="E500" s="27" t="s">
        <v>23</v>
      </c>
      <c r="F500" s="72">
        <f>4.1*10.6</f>
        <v>43.459999999999994</v>
      </c>
      <c r="G500" s="46">
        <v>213000</v>
      </c>
      <c r="H500" s="45">
        <v>1</v>
      </c>
      <c r="I500" s="79">
        <v>1.1479999999999999</v>
      </c>
      <c r="J500" s="223">
        <f t="shared" si="45"/>
        <v>10627000</v>
      </c>
      <c r="K500" s="39">
        <f t="shared" si="39"/>
        <v>10627000</v>
      </c>
      <c r="L500" s="261">
        <f t="shared" si="43"/>
        <v>0</v>
      </c>
      <c r="M500" s="158"/>
    </row>
    <row r="501" spans="1:13" ht="36" customHeight="1" x14ac:dyDescent="0.3">
      <c r="A501" s="69"/>
      <c r="B501" s="8"/>
      <c r="C501" s="82" t="s">
        <v>1333</v>
      </c>
      <c r="D501" s="271" t="s">
        <v>225</v>
      </c>
      <c r="E501" s="96" t="s">
        <v>91</v>
      </c>
      <c r="F501" s="72">
        <f>5.8*4.2</f>
        <v>24.36</v>
      </c>
      <c r="G501" s="340">
        <v>527000</v>
      </c>
      <c r="H501" s="45">
        <v>1</v>
      </c>
      <c r="I501" s="151">
        <v>1.1479999999999999</v>
      </c>
      <c r="J501" s="223">
        <f t="shared" si="45"/>
        <v>14738000</v>
      </c>
      <c r="K501" s="39">
        <f t="shared" si="39"/>
        <v>14738000</v>
      </c>
      <c r="L501" s="261">
        <f t="shared" si="43"/>
        <v>0</v>
      </c>
      <c r="M501" s="341" t="s">
        <v>1334</v>
      </c>
    </row>
    <row r="502" spans="1:13" ht="36" customHeight="1" x14ac:dyDescent="0.3">
      <c r="A502" s="69"/>
      <c r="B502" s="8"/>
      <c r="C502" s="160" t="s">
        <v>1335</v>
      </c>
      <c r="D502" s="275" t="s">
        <v>54</v>
      </c>
      <c r="E502" s="22" t="s">
        <v>23</v>
      </c>
      <c r="F502" s="89">
        <f>19.7*0.9+2.9*0.9</f>
        <v>20.34</v>
      </c>
      <c r="G502" s="100">
        <v>213000</v>
      </c>
      <c r="H502" s="45">
        <v>1</v>
      </c>
      <c r="I502" s="102">
        <v>1.1479999999999999</v>
      </c>
      <c r="J502" s="222">
        <f t="shared" si="45"/>
        <v>4974000</v>
      </c>
      <c r="K502" s="39">
        <f t="shared" si="39"/>
        <v>4974000</v>
      </c>
      <c r="L502" s="261">
        <f t="shared" si="43"/>
        <v>0</v>
      </c>
      <c r="M502" s="341" t="s">
        <v>1336</v>
      </c>
    </row>
    <row r="503" spans="1:13" ht="36" customHeight="1" x14ac:dyDescent="0.3">
      <c r="A503" s="69"/>
      <c r="B503" s="8"/>
      <c r="C503" s="82" t="s">
        <v>1337</v>
      </c>
      <c r="D503" s="270" t="s">
        <v>101</v>
      </c>
      <c r="E503" s="27" t="s">
        <v>23</v>
      </c>
      <c r="F503" s="72">
        <f>(1.3*2.05)*2</f>
        <v>5.33</v>
      </c>
      <c r="G503" s="29">
        <v>339000</v>
      </c>
      <c r="H503" s="45">
        <v>1</v>
      </c>
      <c r="I503" s="79">
        <v>1.1479999999999999</v>
      </c>
      <c r="J503" s="223">
        <f t="shared" si="45"/>
        <v>2074000</v>
      </c>
      <c r="K503" s="39">
        <f t="shared" si="39"/>
        <v>2074000</v>
      </c>
      <c r="L503" s="263"/>
      <c r="M503" s="14"/>
    </row>
    <row r="504" spans="1:13" ht="36" customHeight="1" x14ac:dyDescent="0.3">
      <c r="A504" s="69"/>
      <c r="B504" s="8"/>
      <c r="C504" s="82" t="s">
        <v>1338</v>
      </c>
      <c r="D504" s="271" t="s">
        <v>225</v>
      </c>
      <c r="E504" s="96" t="s">
        <v>91</v>
      </c>
      <c r="F504" s="72">
        <f>8.5*1.1</f>
        <v>9.3500000000000014</v>
      </c>
      <c r="G504" s="29">
        <v>527000</v>
      </c>
      <c r="H504" s="45">
        <v>1</v>
      </c>
      <c r="I504" s="151">
        <v>1.1479999999999999</v>
      </c>
      <c r="J504" s="223">
        <f t="shared" si="45"/>
        <v>5657000</v>
      </c>
      <c r="K504" s="39">
        <f t="shared" si="39"/>
        <v>5657000</v>
      </c>
      <c r="L504" s="263"/>
      <c r="M504" s="14"/>
    </row>
    <row r="505" spans="1:13" ht="36" customHeight="1" x14ac:dyDescent="0.3">
      <c r="A505" s="69"/>
      <c r="B505" s="8"/>
      <c r="C505" s="82" t="s">
        <v>1339</v>
      </c>
      <c r="D505" s="270" t="s">
        <v>52</v>
      </c>
      <c r="E505" s="27" t="s">
        <v>23</v>
      </c>
      <c r="F505" s="72">
        <f>10.9*6+5.1*3</f>
        <v>80.7</v>
      </c>
      <c r="G505" s="11" t="s">
        <v>53</v>
      </c>
      <c r="H505" s="45">
        <v>1</v>
      </c>
      <c r="I505" s="79">
        <v>1.1479999999999999</v>
      </c>
      <c r="J505" s="223">
        <f t="shared" si="45"/>
        <v>21864000</v>
      </c>
      <c r="K505" s="39">
        <f t="shared" si="39"/>
        <v>21864000</v>
      </c>
      <c r="L505" s="262">
        <f t="shared" ref="L505:L510" si="46">J505-K505</f>
        <v>0</v>
      </c>
      <c r="M505" s="14"/>
    </row>
    <row r="506" spans="1:13" ht="36" customHeight="1" x14ac:dyDescent="0.3">
      <c r="A506" s="69"/>
      <c r="B506" s="8"/>
      <c r="C506" s="82" t="s">
        <v>1340</v>
      </c>
      <c r="D506" s="267" t="s">
        <v>24</v>
      </c>
      <c r="E506" s="8" t="s">
        <v>25</v>
      </c>
      <c r="F506" s="89">
        <f>0.3*4.2*0.1+0.6*4.2*0.1</f>
        <v>0.378</v>
      </c>
      <c r="G506" s="29">
        <v>2828000</v>
      </c>
      <c r="H506" s="45">
        <v>1</v>
      </c>
      <c r="I506" s="31">
        <v>1.1479999999999999</v>
      </c>
      <c r="J506" s="223">
        <f t="shared" si="45"/>
        <v>1227000</v>
      </c>
      <c r="K506" s="39">
        <f t="shared" si="39"/>
        <v>1227000</v>
      </c>
      <c r="L506" s="261">
        <f t="shared" si="46"/>
        <v>0</v>
      </c>
      <c r="M506" s="14"/>
    </row>
    <row r="507" spans="1:13" ht="36" customHeight="1" x14ac:dyDescent="0.3">
      <c r="A507" s="69"/>
      <c r="B507" s="8"/>
      <c r="C507" s="82" t="s">
        <v>1341</v>
      </c>
      <c r="D507" s="267" t="s">
        <v>95</v>
      </c>
      <c r="E507" s="71" t="s">
        <v>25</v>
      </c>
      <c r="F507" s="72">
        <f>3*0.2*0.3</f>
        <v>0.18000000000000002</v>
      </c>
      <c r="G507" s="11">
        <v>1000000</v>
      </c>
      <c r="H507" s="45">
        <v>1</v>
      </c>
      <c r="I507" s="31">
        <v>1.1479999999999999</v>
      </c>
      <c r="J507" s="223">
        <f t="shared" si="45"/>
        <v>207000</v>
      </c>
      <c r="K507" s="39">
        <f t="shared" si="39"/>
        <v>207000</v>
      </c>
      <c r="L507" s="261">
        <f t="shared" si="46"/>
        <v>0</v>
      </c>
      <c r="M507" s="14"/>
    </row>
    <row r="508" spans="1:13" ht="36" customHeight="1" x14ac:dyDescent="0.3">
      <c r="A508" s="69"/>
      <c r="B508" s="8"/>
      <c r="C508" s="82" t="s">
        <v>1342</v>
      </c>
      <c r="D508" s="270" t="s">
        <v>66</v>
      </c>
      <c r="E508" s="27" t="s">
        <v>23</v>
      </c>
      <c r="F508" s="72">
        <f>3*0.3</f>
        <v>0.89999999999999991</v>
      </c>
      <c r="G508" s="29">
        <v>339000</v>
      </c>
      <c r="H508" s="45">
        <v>1</v>
      </c>
      <c r="I508" s="31">
        <v>1.1479999999999999</v>
      </c>
      <c r="J508" s="223">
        <f t="shared" si="45"/>
        <v>350000</v>
      </c>
      <c r="K508" s="39">
        <f t="shared" si="39"/>
        <v>350000</v>
      </c>
      <c r="L508" s="261">
        <f t="shared" si="46"/>
        <v>0</v>
      </c>
      <c r="M508" s="14"/>
    </row>
    <row r="509" spans="1:13" ht="36" customHeight="1" x14ac:dyDescent="0.3">
      <c r="A509" s="69"/>
      <c r="B509" s="8"/>
      <c r="C509" s="82" t="s">
        <v>1343</v>
      </c>
      <c r="D509" s="270" t="s">
        <v>28</v>
      </c>
      <c r="E509" s="27" t="s">
        <v>23</v>
      </c>
      <c r="F509" s="72">
        <f>3*0.4+2.4*0.6</f>
        <v>2.64</v>
      </c>
      <c r="G509" s="11">
        <v>396000</v>
      </c>
      <c r="H509" s="45">
        <v>1</v>
      </c>
      <c r="I509" s="31">
        <v>1.1479999999999999</v>
      </c>
      <c r="J509" s="223">
        <f t="shared" si="45"/>
        <v>1200000</v>
      </c>
      <c r="K509" s="39">
        <f t="shared" si="39"/>
        <v>1200000</v>
      </c>
      <c r="L509" s="261">
        <f t="shared" si="46"/>
        <v>0</v>
      </c>
      <c r="M509" s="14"/>
    </row>
    <row r="510" spans="1:13" ht="37.5" x14ac:dyDescent="0.3">
      <c r="A510" s="69"/>
      <c r="B510" s="8"/>
      <c r="C510" s="82" t="s">
        <v>1344</v>
      </c>
      <c r="D510" s="270" t="s">
        <v>66</v>
      </c>
      <c r="E510" s="27" t="s">
        <v>23</v>
      </c>
      <c r="F510" s="89">
        <f>3.7*0.9+7.5*2.4</f>
        <v>21.33</v>
      </c>
      <c r="G510" s="29">
        <v>339000</v>
      </c>
      <c r="H510" s="45">
        <v>1</v>
      </c>
      <c r="I510" s="102">
        <v>1.1479999999999999</v>
      </c>
      <c r="J510" s="223">
        <f t="shared" si="45"/>
        <v>8301000</v>
      </c>
      <c r="K510" s="39">
        <f t="shared" si="39"/>
        <v>8301000</v>
      </c>
      <c r="L510" s="261">
        <f t="shared" si="46"/>
        <v>0</v>
      </c>
      <c r="M510" s="14"/>
    </row>
    <row r="511" spans="1:13" ht="38.25" x14ac:dyDescent="0.3">
      <c r="A511" s="69"/>
      <c r="B511" s="8"/>
      <c r="C511" s="82" t="s">
        <v>1345</v>
      </c>
      <c r="D511" s="271" t="s">
        <v>32</v>
      </c>
      <c r="E511" s="27" t="s">
        <v>23</v>
      </c>
      <c r="F511" s="72">
        <f>4.9*4.2</f>
        <v>20.580000000000002</v>
      </c>
      <c r="G511" s="29">
        <v>215000</v>
      </c>
      <c r="H511" s="45">
        <v>0.8</v>
      </c>
      <c r="I511" s="31">
        <v>1.1479999999999999</v>
      </c>
      <c r="J511" s="223">
        <f t="shared" si="45"/>
        <v>4064000</v>
      </c>
      <c r="K511" s="39">
        <f t="shared" si="39"/>
        <v>4064000</v>
      </c>
      <c r="L511" s="14"/>
      <c r="M511" s="14"/>
    </row>
    <row r="512" spans="1:13" ht="38.25" x14ac:dyDescent="0.3">
      <c r="A512" s="69"/>
      <c r="B512" s="8"/>
      <c r="C512" s="82" t="s">
        <v>1242</v>
      </c>
      <c r="D512" s="273" t="s">
        <v>44</v>
      </c>
      <c r="E512" s="63" t="s">
        <v>45</v>
      </c>
      <c r="F512" s="77">
        <v>7.5</v>
      </c>
      <c r="G512" s="46">
        <v>28000</v>
      </c>
      <c r="H512" s="45">
        <v>1</v>
      </c>
      <c r="I512" s="31">
        <v>1.1479999999999999</v>
      </c>
      <c r="J512" s="223">
        <f t="shared" si="45"/>
        <v>241000</v>
      </c>
      <c r="K512" s="39">
        <f t="shared" si="39"/>
        <v>241000</v>
      </c>
      <c r="L512" s="342"/>
      <c r="M512" s="14"/>
    </row>
    <row r="513" spans="1:13" ht="38.25" x14ac:dyDescent="0.3">
      <c r="A513" s="69"/>
      <c r="B513" s="8"/>
      <c r="C513" s="82" t="s">
        <v>211</v>
      </c>
      <c r="D513" s="271" t="s">
        <v>47</v>
      </c>
      <c r="E513" s="63" t="s">
        <v>45</v>
      </c>
      <c r="F513" s="77">
        <v>7.5</v>
      </c>
      <c r="G513" s="46">
        <v>28000</v>
      </c>
      <c r="H513" s="45">
        <v>1</v>
      </c>
      <c r="I513" s="31">
        <v>1.1479999999999999</v>
      </c>
      <c r="J513" s="223">
        <f t="shared" si="45"/>
        <v>241000</v>
      </c>
      <c r="K513" s="39">
        <f t="shared" si="39"/>
        <v>241000</v>
      </c>
      <c r="L513" s="261">
        <f>J513-K513</f>
        <v>0</v>
      </c>
      <c r="M513" s="14"/>
    </row>
    <row r="514" spans="1:13" ht="61.5" customHeight="1" x14ac:dyDescent="0.3">
      <c r="A514" s="149">
        <v>28</v>
      </c>
      <c r="B514" s="150" t="s">
        <v>474</v>
      </c>
      <c r="C514" s="455" t="s">
        <v>475</v>
      </c>
      <c r="D514" s="456"/>
      <c r="E514" s="456"/>
      <c r="F514" s="456"/>
      <c r="G514" s="456"/>
      <c r="H514" s="456"/>
      <c r="I514" s="457"/>
      <c r="J514" s="221">
        <f>SUM(J515:J523)</f>
        <v>245538000</v>
      </c>
      <c r="K514" s="39">
        <f t="shared" si="39"/>
        <v>0</v>
      </c>
      <c r="L514" s="261">
        <f t="shared" si="40"/>
        <v>245538000</v>
      </c>
      <c r="M514" s="24"/>
    </row>
    <row r="515" spans="1:13" ht="90" customHeight="1" x14ac:dyDescent="0.25">
      <c r="A515" s="67"/>
      <c r="B515" s="68"/>
      <c r="C515" s="25" t="s">
        <v>1062</v>
      </c>
      <c r="D515" s="267" t="s">
        <v>112</v>
      </c>
      <c r="E515" s="27" t="s">
        <v>23</v>
      </c>
      <c r="F515" s="287">
        <v>76.7</v>
      </c>
      <c r="G515" s="458" t="s">
        <v>1064</v>
      </c>
      <c r="H515" s="459"/>
      <c r="I515" s="460"/>
      <c r="J515" s="227"/>
      <c r="K515" s="39"/>
      <c r="L515" s="261">
        <f t="shared" si="40"/>
        <v>0</v>
      </c>
      <c r="M515" s="217">
        <v>74.599999999999994</v>
      </c>
    </row>
    <row r="516" spans="1:13" ht="56.25" x14ac:dyDescent="0.3">
      <c r="A516" s="69"/>
      <c r="B516" s="8"/>
      <c r="C516" s="82" t="s">
        <v>476</v>
      </c>
      <c r="D516" s="274" t="s">
        <v>85</v>
      </c>
      <c r="E516" s="27" t="s">
        <v>23</v>
      </c>
      <c r="F516" s="89">
        <f>9.7*8.8</f>
        <v>85.36</v>
      </c>
      <c r="G516" s="29">
        <v>2247000</v>
      </c>
      <c r="H516" s="45">
        <v>0.8</v>
      </c>
      <c r="I516" s="102">
        <v>1.1479999999999999</v>
      </c>
      <c r="J516" s="223">
        <f t="shared" ref="J516:J523" si="47">ROUND(F516*G516*H516*I516,-3)</f>
        <v>176153000</v>
      </c>
      <c r="K516" s="39">
        <f t="shared" si="39"/>
        <v>176153000</v>
      </c>
      <c r="L516" s="261">
        <f t="shared" si="40"/>
        <v>0</v>
      </c>
      <c r="M516" s="14"/>
    </row>
    <row r="517" spans="1:13" ht="38.25" x14ac:dyDescent="0.3">
      <c r="A517" s="69"/>
      <c r="B517" s="8"/>
      <c r="C517" s="82" t="s">
        <v>477</v>
      </c>
      <c r="D517" s="270" t="s">
        <v>80</v>
      </c>
      <c r="E517" s="71" t="s">
        <v>23</v>
      </c>
      <c r="F517" s="72">
        <f>11.4*3.5</f>
        <v>39.9</v>
      </c>
      <c r="G517" s="29">
        <v>385000</v>
      </c>
      <c r="H517" s="45">
        <v>0.8</v>
      </c>
      <c r="I517" s="31">
        <v>1.1479999999999999</v>
      </c>
      <c r="J517" s="223">
        <f t="shared" si="47"/>
        <v>14108000</v>
      </c>
      <c r="K517" s="39">
        <f t="shared" si="39"/>
        <v>14108000</v>
      </c>
      <c r="L517" s="261">
        <f t="shared" si="40"/>
        <v>0</v>
      </c>
      <c r="M517" s="14"/>
    </row>
    <row r="518" spans="1:13" ht="37.5" x14ac:dyDescent="0.3">
      <c r="A518" s="69"/>
      <c r="B518" s="8"/>
      <c r="C518" s="82" t="s">
        <v>837</v>
      </c>
      <c r="D518" s="270" t="s">
        <v>51</v>
      </c>
      <c r="E518" s="27" t="s">
        <v>23</v>
      </c>
      <c r="F518" s="72">
        <f>9.7*2</f>
        <v>19.399999999999999</v>
      </c>
      <c r="G518" s="29">
        <v>453000</v>
      </c>
      <c r="H518" s="45">
        <v>0.8</v>
      </c>
      <c r="I518" s="31">
        <v>1.1479999999999999</v>
      </c>
      <c r="J518" s="223">
        <f t="shared" si="47"/>
        <v>8071000</v>
      </c>
      <c r="K518" s="39">
        <f t="shared" si="39"/>
        <v>8071000</v>
      </c>
      <c r="L518" s="261">
        <f t="shared" si="40"/>
        <v>0</v>
      </c>
      <c r="M518" s="158"/>
    </row>
    <row r="519" spans="1:13" ht="38.25" x14ac:dyDescent="0.3">
      <c r="A519" s="69"/>
      <c r="B519" s="8"/>
      <c r="C519" s="82" t="s">
        <v>478</v>
      </c>
      <c r="D519" s="271" t="s">
        <v>32</v>
      </c>
      <c r="E519" s="27" t="s">
        <v>23</v>
      </c>
      <c r="F519" s="72">
        <f>9.7*6.5</f>
        <v>63.05</v>
      </c>
      <c r="G519" s="29">
        <v>215000</v>
      </c>
      <c r="H519" s="45">
        <v>0.8</v>
      </c>
      <c r="I519" s="31">
        <v>1.1479999999999999</v>
      </c>
      <c r="J519" s="223">
        <f t="shared" si="47"/>
        <v>12450000</v>
      </c>
      <c r="K519" s="39">
        <f t="shared" ref="K519:K582" si="48">ROUND(F519*G519*H519*I519,-3)</f>
        <v>12450000</v>
      </c>
      <c r="L519" s="261">
        <f t="shared" si="40"/>
        <v>0</v>
      </c>
      <c r="M519" s="14"/>
    </row>
    <row r="520" spans="1:13" ht="36.75" customHeight="1" x14ac:dyDescent="0.3">
      <c r="A520" s="69"/>
      <c r="B520" s="8"/>
      <c r="C520" s="82" t="s">
        <v>479</v>
      </c>
      <c r="D520" s="270" t="s">
        <v>66</v>
      </c>
      <c r="E520" s="27" t="s">
        <v>23</v>
      </c>
      <c r="F520" s="75">
        <f>9.7*8.8</f>
        <v>85.36</v>
      </c>
      <c r="G520" s="29">
        <v>339000</v>
      </c>
      <c r="H520" s="45">
        <v>0.8</v>
      </c>
      <c r="I520" s="31">
        <v>1.1479999999999999</v>
      </c>
      <c r="J520" s="223">
        <f t="shared" si="47"/>
        <v>26576000</v>
      </c>
      <c r="K520" s="39">
        <f t="shared" si="48"/>
        <v>26576000</v>
      </c>
      <c r="L520" s="261">
        <f t="shared" ref="L520:L626" si="49">J520-K520</f>
        <v>0</v>
      </c>
      <c r="M520" s="14"/>
    </row>
    <row r="521" spans="1:13" ht="36.75" customHeight="1" x14ac:dyDescent="0.3">
      <c r="A521" s="69"/>
      <c r="B521" s="8"/>
      <c r="C521" s="82" t="s">
        <v>480</v>
      </c>
      <c r="D521" s="270" t="s">
        <v>52</v>
      </c>
      <c r="E521" s="27" t="s">
        <v>23</v>
      </c>
      <c r="F521" s="72">
        <f>9*1.2+2.5*1.4</f>
        <v>14.299999999999999</v>
      </c>
      <c r="G521" s="11" t="s">
        <v>53</v>
      </c>
      <c r="H521" s="45">
        <v>0.8</v>
      </c>
      <c r="I521" s="79">
        <v>1.1479999999999999</v>
      </c>
      <c r="J521" s="223">
        <f t="shared" si="47"/>
        <v>3099000</v>
      </c>
      <c r="K521" s="39">
        <f t="shared" si="48"/>
        <v>3099000</v>
      </c>
      <c r="L521" s="261">
        <f t="shared" si="49"/>
        <v>0</v>
      </c>
      <c r="M521" s="14"/>
    </row>
    <row r="522" spans="1:13" ht="37.5" x14ac:dyDescent="0.3">
      <c r="A522" s="69"/>
      <c r="B522" s="8"/>
      <c r="C522" s="82" t="s">
        <v>481</v>
      </c>
      <c r="D522" s="271" t="s">
        <v>54</v>
      </c>
      <c r="E522" s="27" t="s">
        <v>23</v>
      </c>
      <c r="F522" s="72">
        <f>9.7*1.8+(1.5*2.4)*2</f>
        <v>24.66</v>
      </c>
      <c r="G522" s="46">
        <v>213000</v>
      </c>
      <c r="H522" s="45">
        <v>0.8</v>
      </c>
      <c r="I522" s="31">
        <v>1.1479999999999999</v>
      </c>
      <c r="J522" s="223">
        <f t="shared" si="47"/>
        <v>4824000</v>
      </c>
      <c r="K522" s="39">
        <f t="shared" si="48"/>
        <v>4824000</v>
      </c>
      <c r="L522" s="261">
        <f t="shared" si="49"/>
        <v>0</v>
      </c>
      <c r="M522" s="14"/>
    </row>
    <row r="523" spans="1:13" ht="38.25" x14ac:dyDescent="0.3">
      <c r="A523" s="69"/>
      <c r="B523" s="8"/>
      <c r="C523" s="82" t="s">
        <v>142</v>
      </c>
      <c r="D523" s="273" t="s">
        <v>44</v>
      </c>
      <c r="E523" s="63" t="s">
        <v>45</v>
      </c>
      <c r="F523" s="77">
        <v>10</v>
      </c>
      <c r="G523" s="46">
        <v>28000</v>
      </c>
      <c r="H523" s="45">
        <v>0.8</v>
      </c>
      <c r="I523" s="31">
        <v>1.1479999999999999</v>
      </c>
      <c r="J523" s="223">
        <f t="shared" si="47"/>
        <v>257000</v>
      </c>
      <c r="K523" s="39">
        <f t="shared" si="48"/>
        <v>257000</v>
      </c>
      <c r="L523" s="261">
        <f t="shared" si="49"/>
        <v>0</v>
      </c>
      <c r="M523" s="14"/>
    </row>
    <row r="524" spans="1:13" ht="48" customHeight="1" x14ac:dyDescent="0.3">
      <c r="A524" s="149">
        <v>29</v>
      </c>
      <c r="B524" s="150" t="s">
        <v>482</v>
      </c>
      <c r="C524" s="455" t="s">
        <v>1104</v>
      </c>
      <c r="D524" s="456"/>
      <c r="E524" s="456"/>
      <c r="F524" s="468"/>
      <c r="G524" s="456"/>
      <c r="H524" s="456"/>
      <c r="I524" s="469"/>
      <c r="J524" s="221">
        <f>SUM(J525:J535)</f>
        <v>295433000</v>
      </c>
      <c r="K524" s="39">
        <f t="shared" si="48"/>
        <v>0</v>
      </c>
      <c r="L524" s="261">
        <f t="shared" si="49"/>
        <v>295433000</v>
      </c>
      <c r="M524" s="24"/>
    </row>
    <row r="525" spans="1:13" ht="90" customHeight="1" x14ac:dyDescent="0.25">
      <c r="A525" s="67"/>
      <c r="B525" s="68"/>
      <c r="C525" s="25" t="s">
        <v>1062</v>
      </c>
      <c r="D525" s="267" t="s">
        <v>112</v>
      </c>
      <c r="E525" s="27" t="s">
        <v>23</v>
      </c>
      <c r="F525" s="287">
        <v>47.4</v>
      </c>
      <c r="G525" s="458" t="s">
        <v>1064</v>
      </c>
      <c r="H525" s="459"/>
      <c r="I525" s="460"/>
      <c r="J525" s="227"/>
      <c r="K525" s="39"/>
      <c r="L525" s="261">
        <f t="shared" si="49"/>
        <v>0</v>
      </c>
      <c r="M525" s="217">
        <v>46.8</v>
      </c>
    </row>
    <row r="526" spans="1:13" ht="72" customHeight="1" x14ac:dyDescent="0.3">
      <c r="A526" s="69"/>
      <c r="B526" s="8"/>
      <c r="C526" s="82" t="s">
        <v>483</v>
      </c>
      <c r="D526" s="274" t="s">
        <v>113</v>
      </c>
      <c r="E526" s="27" t="s">
        <v>23</v>
      </c>
      <c r="F526" s="89">
        <f>13*6.1</f>
        <v>79.3</v>
      </c>
      <c r="G526" s="29">
        <v>3224000</v>
      </c>
      <c r="H526" s="45">
        <v>0.8</v>
      </c>
      <c r="I526" s="102">
        <v>1.1479999999999999</v>
      </c>
      <c r="J526" s="223">
        <f t="shared" ref="J526:J535" si="50">ROUND(F526*G526*H526*I526,-3)</f>
        <v>234801000</v>
      </c>
      <c r="K526" s="39">
        <f t="shared" si="48"/>
        <v>234801000</v>
      </c>
      <c r="L526" s="261">
        <f t="shared" si="49"/>
        <v>0</v>
      </c>
      <c r="M526" s="14"/>
    </row>
    <row r="527" spans="1:13" ht="38.25" x14ac:dyDescent="0.3">
      <c r="A527" s="69"/>
      <c r="B527" s="8"/>
      <c r="C527" s="82" t="s">
        <v>484</v>
      </c>
      <c r="D527" s="270" t="s">
        <v>80</v>
      </c>
      <c r="E527" s="71" t="s">
        <v>23</v>
      </c>
      <c r="F527" s="72">
        <f>13*5.7</f>
        <v>74.100000000000009</v>
      </c>
      <c r="G527" s="29">
        <v>385000</v>
      </c>
      <c r="H527" s="45">
        <v>0.8</v>
      </c>
      <c r="I527" s="31">
        <v>1.1479999999999999</v>
      </c>
      <c r="J527" s="223">
        <f t="shared" si="50"/>
        <v>26201000</v>
      </c>
      <c r="K527" s="39">
        <f t="shared" si="48"/>
        <v>26201000</v>
      </c>
      <c r="L527" s="261">
        <f t="shared" si="49"/>
        <v>0</v>
      </c>
      <c r="M527" s="14"/>
    </row>
    <row r="528" spans="1:13" ht="38.25" x14ac:dyDescent="0.3">
      <c r="A528" s="69"/>
      <c r="B528" s="8"/>
      <c r="C528" s="82" t="s">
        <v>485</v>
      </c>
      <c r="D528" s="271" t="s">
        <v>32</v>
      </c>
      <c r="E528" s="27" t="s">
        <v>23</v>
      </c>
      <c r="F528" s="72">
        <f>5*6.1</f>
        <v>30.5</v>
      </c>
      <c r="G528" s="29">
        <v>215000</v>
      </c>
      <c r="H528" s="45">
        <v>0.8</v>
      </c>
      <c r="I528" s="31">
        <v>1.1479999999999999</v>
      </c>
      <c r="J528" s="223">
        <f t="shared" si="50"/>
        <v>6022000</v>
      </c>
      <c r="K528" s="39">
        <f t="shared" si="48"/>
        <v>6022000</v>
      </c>
      <c r="L528" s="261">
        <f t="shared" si="49"/>
        <v>0</v>
      </c>
      <c r="M528" s="158"/>
    </row>
    <row r="529" spans="1:13" ht="37.5" x14ac:dyDescent="0.3">
      <c r="A529" s="69"/>
      <c r="B529" s="8"/>
      <c r="C529" s="82" t="s">
        <v>486</v>
      </c>
      <c r="D529" s="270" t="s">
        <v>55</v>
      </c>
      <c r="E529" s="27" t="s">
        <v>23</v>
      </c>
      <c r="F529" s="72">
        <f>3.4*6.1+0.6*0.5</f>
        <v>21.04</v>
      </c>
      <c r="G529" s="29">
        <v>905000</v>
      </c>
      <c r="H529" s="45">
        <v>0.8</v>
      </c>
      <c r="I529" s="79">
        <v>1.1479999999999999</v>
      </c>
      <c r="J529" s="223">
        <f t="shared" si="50"/>
        <v>17487000</v>
      </c>
      <c r="K529" s="39">
        <f t="shared" si="48"/>
        <v>17487000</v>
      </c>
      <c r="L529" s="261">
        <f t="shared" si="49"/>
        <v>0</v>
      </c>
      <c r="M529" s="14"/>
    </row>
    <row r="530" spans="1:13" ht="41.25" customHeight="1" x14ac:dyDescent="0.3">
      <c r="A530" s="69"/>
      <c r="B530" s="8"/>
      <c r="C530" s="82" t="s">
        <v>487</v>
      </c>
      <c r="D530" s="267" t="s">
        <v>95</v>
      </c>
      <c r="E530" s="71" t="s">
        <v>25</v>
      </c>
      <c r="F530" s="72">
        <f>6.1*0.45*0.15</f>
        <v>0.41175</v>
      </c>
      <c r="G530" s="11">
        <v>1000000</v>
      </c>
      <c r="H530" s="45">
        <v>0.8</v>
      </c>
      <c r="I530" s="31">
        <v>1.1479999999999999</v>
      </c>
      <c r="J530" s="223">
        <f t="shared" si="50"/>
        <v>378000</v>
      </c>
      <c r="K530" s="39">
        <f t="shared" si="48"/>
        <v>378000</v>
      </c>
      <c r="L530" s="261">
        <f t="shared" si="49"/>
        <v>0</v>
      </c>
      <c r="M530" s="14"/>
    </row>
    <row r="531" spans="1:13" ht="41.25" customHeight="1" x14ac:dyDescent="0.3">
      <c r="A531" s="69"/>
      <c r="B531" s="8"/>
      <c r="C531" s="82" t="s">
        <v>488</v>
      </c>
      <c r="D531" s="270" t="s">
        <v>66</v>
      </c>
      <c r="E531" s="27" t="s">
        <v>23</v>
      </c>
      <c r="F531" s="72">
        <f>6.1*0.45</f>
        <v>2.7450000000000001</v>
      </c>
      <c r="G531" s="29">
        <v>339000</v>
      </c>
      <c r="H531" s="45">
        <v>0.8</v>
      </c>
      <c r="I531" s="31">
        <v>1.1479999999999999</v>
      </c>
      <c r="J531" s="223">
        <f t="shared" si="50"/>
        <v>855000</v>
      </c>
      <c r="K531" s="39">
        <f t="shared" si="48"/>
        <v>855000</v>
      </c>
      <c r="L531" s="261">
        <f t="shared" si="49"/>
        <v>0</v>
      </c>
      <c r="M531" s="14"/>
    </row>
    <row r="532" spans="1:13" ht="38.25" x14ac:dyDescent="0.3">
      <c r="A532" s="69"/>
      <c r="B532" s="8"/>
      <c r="C532" s="82" t="s">
        <v>489</v>
      </c>
      <c r="D532" s="267" t="s">
        <v>24</v>
      </c>
      <c r="E532" s="8" t="s">
        <v>25</v>
      </c>
      <c r="F532" s="72">
        <f>6.1*1.3*0.3</f>
        <v>2.379</v>
      </c>
      <c r="G532" s="29">
        <v>2828000</v>
      </c>
      <c r="H532" s="45">
        <v>0.8</v>
      </c>
      <c r="I532" s="102">
        <v>1.1479999999999999</v>
      </c>
      <c r="J532" s="223">
        <f t="shared" si="50"/>
        <v>6179000</v>
      </c>
      <c r="K532" s="39">
        <f t="shared" si="48"/>
        <v>6179000</v>
      </c>
      <c r="L532" s="261">
        <f t="shared" si="49"/>
        <v>0</v>
      </c>
      <c r="M532" s="14"/>
    </row>
    <row r="533" spans="1:13" ht="25.5" x14ac:dyDescent="0.3">
      <c r="A533" s="69"/>
      <c r="B533" s="8"/>
      <c r="C533" s="82" t="s">
        <v>490</v>
      </c>
      <c r="D533" s="280" t="s">
        <v>92</v>
      </c>
      <c r="E533" s="27" t="s">
        <v>35</v>
      </c>
      <c r="F533" s="98">
        <v>1</v>
      </c>
      <c r="G533" s="29">
        <v>44850</v>
      </c>
      <c r="H533" s="50">
        <v>1</v>
      </c>
      <c r="I533" s="51">
        <v>1</v>
      </c>
      <c r="J533" s="223">
        <f t="shared" si="50"/>
        <v>45000</v>
      </c>
      <c r="K533" s="39">
        <f t="shared" si="48"/>
        <v>45000</v>
      </c>
      <c r="L533" s="261">
        <f t="shared" si="49"/>
        <v>0</v>
      </c>
      <c r="M533" s="14"/>
    </row>
    <row r="534" spans="1:13" ht="37.5" customHeight="1" x14ac:dyDescent="0.3">
      <c r="A534" s="69"/>
      <c r="B534" s="8"/>
      <c r="C534" s="82" t="s">
        <v>491</v>
      </c>
      <c r="D534" s="270" t="s">
        <v>52</v>
      </c>
      <c r="E534" s="27" t="s">
        <v>23</v>
      </c>
      <c r="F534" s="72">
        <f>5.7*1+6.5*1.4</f>
        <v>14.8</v>
      </c>
      <c r="G534" s="11" t="s">
        <v>53</v>
      </c>
      <c r="H534" s="45">
        <v>0.8</v>
      </c>
      <c r="I534" s="79">
        <v>1.1479999999999999</v>
      </c>
      <c r="J534" s="223">
        <f t="shared" si="50"/>
        <v>3208000</v>
      </c>
      <c r="K534" s="39">
        <f t="shared" si="48"/>
        <v>3208000</v>
      </c>
      <c r="L534" s="261">
        <f t="shared" si="49"/>
        <v>0</v>
      </c>
      <c r="M534" s="14"/>
    </row>
    <row r="535" spans="1:13" ht="38.25" x14ac:dyDescent="0.3">
      <c r="A535" s="69"/>
      <c r="B535" s="8"/>
      <c r="C535" s="82" t="s">
        <v>110</v>
      </c>
      <c r="D535" s="271" t="s">
        <v>47</v>
      </c>
      <c r="E535" s="63" t="s">
        <v>45</v>
      </c>
      <c r="F535" s="77">
        <v>10</v>
      </c>
      <c r="G535" s="46">
        <v>28000</v>
      </c>
      <c r="H535" s="45">
        <v>0.8</v>
      </c>
      <c r="I535" s="31">
        <v>1.1479999999999999</v>
      </c>
      <c r="J535" s="223">
        <f t="shared" si="50"/>
        <v>257000</v>
      </c>
      <c r="K535" s="39">
        <f t="shared" si="48"/>
        <v>257000</v>
      </c>
      <c r="L535" s="261">
        <f t="shared" si="49"/>
        <v>0</v>
      </c>
      <c r="M535" s="14"/>
    </row>
    <row r="536" spans="1:13" ht="50.25" customHeight="1" x14ac:dyDescent="0.3">
      <c r="A536" s="149">
        <v>30</v>
      </c>
      <c r="B536" s="150" t="s">
        <v>492</v>
      </c>
      <c r="C536" s="455" t="s">
        <v>1105</v>
      </c>
      <c r="D536" s="456"/>
      <c r="E536" s="456"/>
      <c r="F536" s="456"/>
      <c r="G536" s="456"/>
      <c r="H536" s="456"/>
      <c r="I536" s="457"/>
      <c r="J536" s="221">
        <f>SUM(J537:J554)</f>
        <v>77026000</v>
      </c>
      <c r="K536" s="39">
        <f t="shared" si="48"/>
        <v>0</v>
      </c>
      <c r="L536" s="261">
        <f t="shared" si="49"/>
        <v>77026000</v>
      </c>
      <c r="M536" s="24"/>
    </row>
    <row r="537" spans="1:13" ht="90" customHeight="1" x14ac:dyDescent="0.25">
      <c r="A537" s="67"/>
      <c r="B537" s="68"/>
      <c r="C537" s="25" t="s">
        <v>1062</v>
      </c>
      <c r="D537" s="267" t="s">
        <v>112</v>
      </c>
      <c r="E537" s="27" t="s">
        <v>23</v>
      </c>
      <c r="F537" s="23">
        <v>43</v>
      </c>
      <c r="G537" s="458" t="s">
        <v>1064</v>
      </c>
      <c r="H537" s="459"/>
      <c r="I537" s="460"/>
      <c r="J537" s="227"/>
      <c r="K537" s="39"/>
      <c r="L537" s="261">
        <f t="shared" si="49"/>
        <v>0</v>
      </c>
      <c r="M537" s="218"/>
    </row>
    <row r="538" spans="1:13" ht="38.25" x14ac:dyDescent="0.3">
      <c r="A538" s="69"/>
      <c r="B538" s="8"/>
      <c r="C538" s="82" t="s">
        <v>493</v>
      </c>
      <c r="D538" s="269" t="s">
        <v>88</v>
      </c>
      <c r="E538" s="8" t="s">
        <v>25</v>
      </c>
      <c r="F538" s="72">
        <f>(0.6*0.6*2.8)*2</f>
        <v>2.016</v>
      </c>
      <c r="G538" s="11">
        <v>2828000</v>
      </c>
      <c r="H538" s="45">
        <v>0.8</v>
      </c>
      <c r="I538" s="31">
        <v>1.1479999999999999</v>
      </c>
      <c r="J538" s="223">
        <f t="shared" ref="J538:J554" si="51">ROUND(F538*G538*H538*I538,-3)</f>
        <v>5236000</v>
      </c>
      <c r="K538" s="39">
        <f t="shared" si="48"/>
        <v>5236000</v>
      </c>
      <c r="L538" s="261">
        <f t="shared" si="49"/>
        <v>0</v>
      </c>
      <c r="M538" s="14"/>
    </row>
    <row r="539" spans="1:13" ht="38.25" x14ac:dyDescent="0.3">
      <c r="A539" s="69"/>
      <c r="B539" s="8"/>
      <c r="C539" s="82" t="s">
        <v>494</v>
      </c>
      <c r="D539" s="267" t="s">
        <v>26</v>
      </c>
      <c r="E539" s="71" t="s">
        <v>23</v>
      </c>
      <c r="F539" s="72">
        <f>2.4*2.5</f>
        <v>6</v>
      </c>
      <c r="G539" s="29">
        <v>679000</v>
      </c>
      <c r="H539" s="45">
        <v>0.8</v>
      </c>
      <c r="I539" s="31">
        <v>1.1479999999999999</v>
      </c>
      <c r="J539" s="223">
        <f t="shared" si="51"/>
        <v>3742000</v>
      </c>
      <c r="K539" s="39">
        <f t="shared" si="48"/>
        <v>3742000</v>
      </c>
      <c r="L539" s="261">
        <f t="shared" si="49"/>
        <v>0</v>
      </c>
      <c r="M539" s="14"/>
    </row>
    <row r="540" spans="1:13" ht="37.5" x14ac:dyDescent="0.3">
      <c r="A540" s="69"/>
      <c r="B540" s="8"/>
      <c r="C540" s="82" t="s">
        <v>495</v>
      </c>
      <c r="D540" s="270" t="s">
        <v>29</v>
      </c>
      <c r="E540" s="27" t="s">
        <v>23</v>
      </c>
      <c r="F540" s="72">
        <f>16.8*1.2+(4.8*0.3)*2+(2.8*0.3)*2</f>
        <v>24.72</v>
      </c>
      <c r="G540" s="29">
        <v>792000</v>
      </c>
      <c r="H540" s="45">
        <v>0.8</v>
      </c>
      <c r="I540" s="31">
        <v>1.1479999999999999</v>
      </c>
      <c r="J540" s="223">
        <f t="shared" si="51"/>
        <v>17981000</v>
      </c>
      <c r="K540" s="39">
        <f t="shared" si="48"/>
        <v>17981000</v>
      </c>
      <c r="L540" s="261">
        <f t="shared" si="49"/>
        <v>0</v>
      </c>
      <c r="M540" s="14"/>
    </row>
    <row r="541" spans="1:13" ht="38.25" x14ac:dyDescent="0.3">
      <c r="A541" s="69"/>
      <c r="B541" s="8"/>
      <c r="C541" s="82" t="s">
        <v>496</v>
      </c>
      <c r="D541" s="271" t="s">
        <v>34</v>
      </c>
      <c r="E541" s="27" t="s">
        <v>23</v>
      </c>
      <c r="F541" s="72">
        <f>16.8*1.1</f>
        <v>18.480000000000004</v>
      </c>
      <c r="G541" s="46">
        <v>566000</v>
      </c>
      <c r="H541" s="45">
        <v>0.8</v>
      </c>
      <c r="I541" s="31">
        <v>1.1479999999999999</v>
      </c>
      <c r="J541" s="223">
        <f t="shared" si="51"/>
        <v>9606000</v>
      </c>
      <c r="K541" s="39">
        <f t="shared" si="48"/>
        <v>9606000</v>
      </c>
      <c r="L541" s="261">
        <f t="shared" si="49"/>
        <v>0</v>
      </c>
      <c r="M541" s="14"/>
    </row>
    <row r="542" spans="1:13" ht="38.25" x14ac:dyDescent="0.3">
      <c r="A542" s="69"/>
      <c r="B542" s="8"/>
      <c r="C542" s="82" t="s">
        <v>497</v>
      </c>
      <c r="D542" s="271" t="s">
        <v>34</v>
      </c>
      <c r="E542" s="27" t="s">
        <v>23</v>
      </c>
      <c r="F542" s="72">
        <f>4.8*7.8</f>
        <v>37.44</v>
      </c>
      <c r="G542" s="46">
        <v>566000</v>
      </c>
      <c r="H542" s="45">
        <v>0.8</v>
      </c>
      <c r="I542" s="31">
        <v>1.1479999999999999</v>
      </c>
      <c r="J542" s="223">
        <f t="shared" si="51"/>
        <v>19462000</v>
      </c>
      <c r="K542" s="39">
        <f t="shared" si="48"/>
        <v>19462000</v>
      </c>
      <c r="L542" s="261">
        <f t="shared" si="49"/>
        <v>0</v>
      </c>
      <c r="M542" s="14"/>
    </row>
    <row r="543" spans="1:13" ht="38.25" x14ac:dyDescent="0.3">
      <c r="A543" s="69"/>
      <c r="B543" s="8"/>
      <c r="C543" s="82" t="s">
        <v>498</v>
      </c>
      <c r="D543" s="271" t="s">
        <v>32</v>
      </c>
      <c r="E543" s="27" t="s">
        <v>23</v>
      </c>
      <c r="F543" s="72">
        <f>5.3*7.4</f>
        <v>39.22</v>
      </c>
      <c r="G543" s="29">
        <v>215000</v>
      </c>
      <c r="H543" s="45">
        <v>0.8</v>
      </c>
      <c r="I543" s="31">
        <v>1.1479999999999999</v>
      </c>
      <c r="J543" s="223">
        <f t="shared" si="51"/>
        <v>7744000</v>
      </c>
      <c r="K543" s="39">
        <f t="shared" si="48"/>
        <v>7744000</v>
      </c>
      <c r="L543" s="261">
        <f t="shared" si="49"/>
        <v>0</v>
      </c>
      <c r="M543" s="14"/>
    </row>
    <row r="544" spans="1:13" ht="42" customHeight="1" x14ac:dyDescent="0.3">
      <c r="A544" s="69"/>
      <c r="B544" s="8"/>
      <c r="C544" s="82" t="s">
        <v>499</v>
      </c>
      <c r="D544" s="270" t="s">
        <v>31</v>
      </c>
      <c r="E544" s="27" t="s">
        <v>23</v>
      </c>
      <c r="F544" s="72">
        <f>2.4*1</f>
        <v>2.4</v>
      </c>
      <c r="G544" s="29">
        <v>339000</v>
      </c>
      <c r="H544" s="45">
        <v>0.8</v>
      </c>
      <c r="I544" s="31">
        <v>1.1479999999999999</v>
      </c>
      <c r="J544" s="223">
        <f t="shared" si="51"/>
        <v>747000</v>
      </c>
      <c r="K544" s="39">
        <f t="shared" si="48"/>
        <v>747000</v>
      </c>
      <c r="L544" s="261">
        <f t="shared" si="49"/>
        <v>0</v>
      </c>
      <c r="M544" s="14"/>
    </row>
    <row r="545" spans="1:13" ht="38.25" x14ac:dyDescent="0.3">
      <c r="A545" s="69"/>
      <c r="B545" s="8"/>
      <c r="C545" s="82" t="s">
        <v>500</v>
      </c>
      <c r="D545" s="271" t="s">
        <v>32</v>
      </c>
      <c r="E545" s="27" t="s">
        <v>23</v>
      </c>
      <c r="F545" s="72">
        <f>6.4*7.8</f>
        <v>49.92</v>
      </c>
      <c r="G545" s="29">
        <v>215000</v>
      </c>
      <c r="H545" s="45">
        <v>0.8</v>
      </c>
      <c r="I545" s="31">
        <v>1.1479999999999999</v>
      </c>
      <c r="J545" s="223">
        <f t="shared" si="51"/>
        <v>9857000</v>
      </c>
      <c r="K545" s="39">
        <f t="shared" si="48"/>
        <v>9857000</v>
      </c>
      <c r="L545" s="261">
        <f t="shared" si="49"/>
        <v>0</v>
      </c>
      <c r="M545" s="14"/>
    </row>
    <row r="546" spans="1:13" ht="25.5" x14ac:dyDescent="0.3">
      <c r="A546" s="69"/>
      <c r="B546" s="8"/>
      <c r="C546" s="82" t="s">
        <v>501</v>
      </c>
      <c r="D546" s="277" t="s">
        <v>878</v>
      </c>
      <c r="E546" s="27" t="s">
        <v>35</v>
      </c>
      <c r="F546" s="76">
        <v>2</v>
      </c>
      <c r="G546" s="29">
        <v>40910</v>
      </c>
      <c r="H546" s="50">
        <v>1</v>
      </c>
      <c r="I546" s="51">
        <v>1</v>
      </c>
      <c r="J546" s="224">
        <f t="shared" si="51"/>
        <v>82000</v>
      </c>
      <c r="K546" s="39">
        <f t="shared" si="48"/>
        <v>82000</v>
      </c>
      <c r="L546" s="261">
        <f t="shared" si="49"/>
        <v>0</v>
      </c>
      <c r="M546" s="14"/>
    </row>
    <row r="547" spans="1:13" ht="37.5" customHeight="1" x14ac:dyDescent="0.3">
      <c r="A547" s="69"/>
      <c r="B547" s="8"/>
      <c r="C547" s="82" t="s">
        <v>502</v>
      </c>
      <c r="D547" s="276" t="s">
        <v>41</v>
      </c>
      <c r="E547" s="59" t="s">
        <v>42</v>
      </c>
      <c r="F547" s="98">
        <v>5</v>
      </c>
      <c r="G547" s="11">
        <v>31950</v>
      </c>
      <c r="H547" s="60">
        <v>1</v>
      </c>
      <c r="I547" s="61">
        <v>1</v>
      </c>
      <c r="J547" s="223">
        <f t="shared" si="51"/>
        <v>160000</v>
      </c>
      <c r="K547" s="39">
        <f t="shared" si="48"/>
        <v>160000</v>
      </c>
      <c r="L547" s="261">
        <f t="shared" si="49"/>
        <v>0</v>
      </c>
      <c r="M547" s="14"/>
    </row>
    <row r="548" spans="1:13" ht="37.5" customHeight="1" x14ac:dyDescent="0.3">
      <c r="A548" s="69"/>
      <c r="B548" s="8"/>
      <c r="C548" s="82" t="s">
        <v>503</v>
      </c>
      <c r="D548" s="276" t="s">
        <v>41</v>
      </c>
      <c r="E548" s="59" t="s">
        <v>42</v>
      </c>
      <c r="F548" s="98">
        <v>10</v>
      </c>
      <c r="G548" s="11">
        <v>10650</v>
      </c>
      <c r="H548" s="60">
        <v>1</v>
      </c>
      <c r="I548" s="61">
        <v>1</v>
      </c>
      <c r="J548" s="223">
        <f t="shared" si="51"/>
        <v>107000</v>
      </c>
      <c r="K548" s="39">
        <f t="shared" si="48"/>
        <v>107000</v>
      </c>
      <c r="L548" s="261">
        <f t="shared" si="49"/>
        <v>0</v>
      </c>
      <c r="M548" s="14"/>
    </row>
    <row r="549" spans="1:13" ht="38.25" x14ac:dyDescent="0.3">
      <c r="A549" s="69"/>
      <c r="B549" s="8"/>
      <c r="C549" s="82" t="s">
        <v>43</v>
      </c>
      <c r="D549" s="273" t="s">
        <v>44</v>
      </c>
      <c r="E549" s="63" t="s">
        <v>45</v>
      </c>
      <c r="F549" s="77">
        <v>6</v>
      </c>
      <c r="G549" s="46">
        <v>28000</v>
      </c>
      <c r="H549" s="45">
        <v>0.8</v>
      </c>
      <c r="I549" s="31">
        <v>1.1479999999999999</v>
      </c>
      <c r="J549" s="223">
        <f t="shared" si="51"/>
        <v>154000</v>
      </c>
      <c r="K549" s="39">
        <f t="shared" si="48"/>
        <v>154000</v>
      </c>
      <c r="L549" s="261">
        <f t="shared" si="49"/>
        <v>0</v>
      </c>
      <c r="M549" s="14"/>
    </row>
    <row r="550" spans="1:13" ht="38.25" x14ac:dyDescent="0.3">
      <c r="A550" s="69"/>
      <c r="B550" s="8"/>
      <c r="C550" s="82" t="s">
        <v>46</v>
      </c>
      <c r="D550" s="271" t="s">
        <v>47</v>
      </c>
      <c r="E550" s="63" t="s">
        <v>45</v>
      </c>
      <c r="F550" s="77">
        <v>6</v>
      </c>
      <c r="G550" s="46">
        <v>28000</v>
      </c>
      <c r="H550" s="45">
        <v>0.8</v>
      </c>
      <c r="I550" s="31">
        <v>1.1479999999999999</v>
      </c>
      <c r="J550" s="223">
        <f t="shared" si="51"/>
        <v>154000</v>
      </c>
      <c r="K550" s="39">
        <f t="shared" si="48"/>
        <v>154000</v>
      </c>
      <c r="L550" s="261">
        <f t="shared" si="49"/>
        <v>0</v>
      </c>
      <c r="M550" s="14"/>
    </row>
    <row r="551" spans="1:13" ht="38.25" x14ac:dyDescent="0.3">
      <c r="A551" s="69"/>
      <c r="B551" s="8"/>
      <c r="C551" s="82" t="s">
        <v>504</v>
      </c>
      <c r="D551" s="267" t="s">
        <v>24</v>
      </c>
      <c r="E551" s="27" t="s">
        <v>25</v>
      </c>
      <c r="F551" s="72">
        <f>(0.22*0.22*2.5)*6</f>
        <v>0.72599999999999998</v>
      </c>
      <c r="G551" s="29">
        <v>2828000</v>
      </c>
      <c r="H551" s="45">
        <v>0.8</v>
      </c>
      <c r="I551" s="31">
        <v>1.1479999999999999</v>
      </c>
      <c r="J551" s="223">
        <f t="shared" si="51"/>
        <v>1886000</v>
      </c>
      <c r="K551" s="39">
        <f t="shared" si="48"/>
        <v>1886000</v>
      </c>
      <c r="L551" s="261">
        <f t="shared" si="49"/>
        <v>0</v>
      </c>
      <c r="M551" s="158"/>
    </row>
    <row r="552" spans="1:13" ht="25.5" x14ac:dyDescent="0.3">
      <c r="A552" s="69"/>
      <c r="B552" s="8"/>
      <c r="C552" s="82" t="s">
        <v>505</v>
      </c>
      <c r="D552" s="192" t="s">
        <v>58</v>
      </c>
      <c r="E552" s="27" t="s">
        <v>35</v>
      </c>
      <c r="F552" s="196">
        <v>1</v>
      </c>
      <c r="G552" s="29">
        <v>21300</v>
      </c>
      <c r="H552" s="50">
        <v>1</v>
      </c>
      <c r="I552" s="51">
        <v>1</v>
      </c>
      <c r="J552" s="223">
        <f t="shared" si="51"/>
        <v>21000</v>
      </c>
      <c r="K552" s="39">
        <f t="shared" si="48"/>
        <v>21000</v>
      </c>
      <c r="L552" s="261">
        <f t="shared" si="49"/>
        <v>0</v>
      </c>
      <c r="M552" s="14"/>
    </row>
    <row r="553" spans="1:13" ht="25.5" x14ac:dyDescent="0.3">
      <c r="A553" s="69"/>
      <c r="B553" s="8"/>
      <c r="C553" s="82" t="s">
        <v>506</v>
      </c>
      <c r="D553" s="192" t="s">
        <v>879</v>
      </c>
      <c r="E553" s="27" t="s">
        <v>35</v>
      </c>
      <c r="F553" s="196">
        <v>1</v>
      </c>
      <c r="G553" s="29">
        <v>10650</v>
      </c>
      <c r="H553" s="50">
        <v>1</v>
      </c>
      <c r="I553" s="51">
        <v>1</v>
      </c>
      <c r="J553" s="223">
        <f t="shared" si="51"/>
        <v>11000</v>
      </c>
      <c r="K553" s="39">
        <f t="shared" si="48"/>
        <v>11000</v>
      </c>
      <c r="L553" s="261">
        <f t="shared" si="49"/>
        <v>0</v>
      </c>
      <c r="M553" s="14"/>
    </row>
    <row r="554" spans="1:13" ht="38.25" x14ac:dyDescent="0.3">
      <c r="A554" s="69"/>
      <c r="B554" s="8"/>
      <c r="C554" s="82" t="s">
        <v>507</v>
      </c>
      <c r="D554" s="267" t="s">
        <v>89</v>
      </c>
      <c r="E554" s="71" t="s">
        <v>23</v>
      </c>
      <c r="F554" s="72">
        <f>5*1.5</f>
        <v>7.5</v>
      </c>
      <c r="G554" s="29">
        <v>11000</v>
      </c>
      <c r="H554" s="45">
        <v>0.8</v>
      </c>
      <c r="I554" s="31">
        <v>1.1479999999999999</v>
      </c>
      <c r="J554" s="223">
        <f t="shared" si="51"/>
        <v>76000</v>
      </c>
      <c r="K554" s="39">
        <f t="shared" si="48"/>
        <v>76000</v>
      </c>
      <c r="L554" s="261">
        <f t="shared" si="49"/>
        <v>0</v>
      </c>
      <c r="M554" s="14"/>
    </row>
    <row r="555" spans="1:13" ht="50.25" customHeight="1" x14ac:dyDescent="0.3">
      <c r="A555" s="149">
        <v>31</v>
      </c>
      <c r="B555" s="150" t="s">
        <v>508</v>
      </c>
      <c r="C555" s="455" t="s">
        <v>1106</v>
      </c>
      <c r="D555" s="456"/>
      <c r="E555" s="456"/>
      <c r="F555" s="456"/>
      <c r="G555" s="456"/>
      <c r="H555" s="456"/>
      <c r="I555" s="457"/>
      <c r="J555" s="221">
        <f>SUM(J556:J578)</f>
        <v>384009000</v>
      </c>
      <c r="K555" s="39">
        <f t="shared" si="48"/>
        <v>0</v>
      </c>
      <c r="L555" s="261">
        <f t="shared" si="49"/>
        <v>384009000</v>
      </c>
      <c r="M555" s="24"/>
    </row>
    <row r="556" spans="1:13" ht="90" customHeight="1" x14ac:dyDescent="0.25">
      <c r="A556" s="67"/>
      <c r="B556" s="68"/>
      <c r="C556" s="25" t="s">
        <v>1062</v>
      </c>
      <c r="D556" s="267" t="s">
        <v>112</v>
      </c>
      <c r="E556" s="27" t="s">
        <v>23</v>
      </c>
      <c r="F556" s="23">
        <v>128.6</v>
      </c>
      <c r="G556" s="458" t="s">
        <v>1064</v>
      </c>
      <c r="H556" s="459"/>
      <c r="I556" s="460"/>
      <c r="J556" s="227"/>
      <c r="K556" s="39"/>
      <c r="L556" s="261">
        <f t="shared" si="49"/>
        <v>0</v>
      </c>
      <c r="M556" s="218"/>
    </row>
    <row r="557" spans="1:13" ht="38.25" x14ac:dyDescent="0.3">
      <c r="A557" s="69"/>
      <c r="B557" s="8"/>
      <c r="C557" s="82" t="s">
        <v>509</v>
      </c>
      <c r="D557" s="267" t="s">
        <v>24</v>
      </c>
      <c r="E557" s="27" t="s">
        <v>25</v>
      </c>
      <c r="F557" s="72">
        <f>(0.7*0.7*3.55)*2</f>
        <v>3.4789999999999992</v>
      </c>
      <c r="G557" s="29">
        <v>2828000</v>
      </c>
      <c r="H557" s="45">
        <v>0.8</v>
      </c>
      <c r="I557" s="31">
        <v>1.1479999999999999</v>
      </c>
      <c r="J557" s="223">
        <f t="shared" ref="J557:J578" si="52">ROUND(F557*G557*H557*I557,-3)</f>
        <v>9036000</v>
      </c>
      <c r="K557" s="39">
        <f t="shared" si="48"/>
        <v>9036000</v>
      </c>
      <c r="L557" s="261">
        <f t="shared" si="49"/>
        <v>0</v>
      </c>
      <c r="M557" s="14"/>
    </row>
    <row r="558" spans="1:13" ht="38.25" x14ac:dyDescent="0.3">
      <c r="A558" s="69"/>
      <c r="B558" s="8"/>
      <c r="C558" s="82" t="s">
        <v>510</v>
      </c>
      <c r="D558" s="267" t="s">
        <v>26</v>
      </c>
      <c r="E558" s="27" t="s">
        <v>23</v>
      </c>
      <c r="F558" s="89">
        <f>3.35*2.8</f>
        <v>9.379999999999999</v>
      </c>
      <c r="G558" s="29">
        <v>679000</v>
      </c>
      <c r="H558" s="45">
        <v>0.8</v>
      </c>
      <c r="I558" s="31">
        <v>1.1479999999999999</v>
      </c>
      <c r="J558" s="223">
        <f t="shared" si="52"/>
        <v>5849000</v>
      </c>
      <c r="K558" s="39">
        <f t="shared" si="48"/>
        <v>5849000</v>
      </c>
      <c r="L558" s="261">
        <f t="shared" si="49"/>
        <v>0</v>
      </c>
      <c r="M558" s="14"/>
    </row>
    <row r="559" spans="1:13" ht="37.5" x14ac:dyDescent="0.3">
      <c r="A559" s="69"/>
      <c r="B559" s="8"/>
      <c r="C559" s="82" t="s">
        <v>511</v>
      </c>
      <c r="D559" s="270" t="s">
        <v>562</v>
      </c>
      <c r="E559" s="27" t="s">
        <v>23</v>
      </c>
      <c r="F559" s="72">
        <f>2*5.5+5.5*1.6</f>
        <v>19.8</v>
      </c>
      <c r="G559" s="29">
        <v>577000</v>
      </c>
      <c r="H559" s="45">
        <v>0.8</v>
      </c>
      <c r="I559" s="31">
        <v>1.1479999999999999</v>
      </c>
      <c r="J559" s="223">
        <f t="shared" si="52"/>
        <v>10492000</v>
      </c>
      <c r="K559" s="39">
        <f t="shared" si="48"/>
        <v>10492000</v>
      </c>
      <c r="L559" s="261">
        <f t="shared" si="49"/>
        <v>0</v>
      </c>
      <c r="M559" s="14"/>
    </row>
    <row r="560" spans="1:13" ht="38.25" x14ac:dyDescent="0.3">
      <c r="A560" s="69"/>
      <c r="B560" s="8"/>
      <c r="C560" s="82" t="s">
        <v>512</v>
      </c>
      <c r="D560" s="267" t="s">
        <v>24</v>
      </c>
      <c r="E560" s="27" t="s">
        <v>25</v>
      </c>
      <c r="F560" s="72">
        <f>(0.35*0.35*2.8)*11</f>
        <v>3.7729999999999992</v>
      </c>
      <c r="G560" s="29">
        <v>2828000</v>
      </c>
      <c r="H560" s="45">
        <v>0.8</v>
      </c>
      <c r="I560" s="31">
        <v>1.1479999999999999</v>
      </c>
      <c r="J560" s="223">
        <f t="shared" si="52"/>
        <v>9799000</v>
      </c>
      <c r="K560" s="39">
        <f t="shared" si="48"/>
        <v>9799000</v>
      </c>
      <c r="L560" s="261">
        <f t="shared" si="49"/>
        <v>0</v>
      </c>
      <c r="M560" s="14"/>
    </row>
    <row r="561" spans="1:13" ht="112.5" x14ac:dyDescent="0.3">
      <c r="A561" s="69"/>
      <c r="B561" s="8"/>
      <c r="C561" s="82" t="s">
        <v>513</v>
      </c>
      <c r="D561" s="270" t="s">
        <v>29</v>
      </c>
      <c r="E561" s="27" t="s">
        <v>23</v>
      </c>
      <c r="F561" s="72">
        <f>5.85*1.05+3*1.7+6.45*1.05+3.7*1.7+6.2*1.4+5.25*1.75+6.9*0.25+(7.5*0.25)*2+(7.25*0.25)*4+7.25*2.9+(5.3*0.4)*2+19.6*0.3</f>
        <v>86.04249999999999</v>
      </c>
      <c r="G561" s="29">
        <v>792000</v>
      </c>
      <c r="H561" s="45">
        <v>0.8</v>
      </c>
      <c r="I561" s="31">
        <v>1.1479999999999999</v>
      </c>
      <c r="J561" s="223">
        <f t="shared" si="52"/>
        <v>62585000</v>
      </c>
      <c r="K561" s="39">
        <f t="shared" si="48"/>
        <v>62585000</v>
      </c>
      <c r="L561" s="261">
        <f t="shared" si="49"/>
        <v>0</v>
      </c>
      <c r="M561" s="14"/>
    </row>
    <row r="562" spans="1:13" ht="75" x14ac:dyDescent="0.3">
      <c r="A562" s="69"/>
      <c r="B562" s="8"/>
      <c r="C562" s="82" t="s">
        <v>514</v>
      </c>
      <c r="D562" s="267" t="s">
        <v>24</v>
      </c>
      <c r="E562" s="8" t="s">
        <v>25</v>
      </c>
      <c r="F562" s="72">
        <f>6.9*0.55*0.1+6.9*0.3*0.05+7.5*0.55*0.1+7.5*0.3*0.05+(7.25*0.55*0.1)*2+(7.25*0.3*0.05)*2</f>
        <v>2.0230000000000001</v>
      </c>
      <c r="G562" s="29">
        <v>2828000</v>
      </c>
      <c r="H562" s="45">
        <v>0.8</v>
      </c>
      <c r="I562" s="31">
        <v>1.1479999999999999</v>
      </c>
      <c r="J562" s="223">
        <f t="shared" si="52"/>
        <v>5254000</v>
      </c>
      <c r="K562" s="39">
        <f t="shared" si="48"/>
        <v>5254000</v>
      </c>
      <c r="L562" s="261">
        <f t="shared" si="49"/>
        <v>0</v>
      </c>
      <c r="M562" s="14"/>
    </row>
    <row r="563" spans="1:13" ht="37.5" x14ac:dyDescent="0.3">
      <c r="A563" s="69"/>
      <c r="B563" s="8"/>
      <c r="C563" s="82" t="s">
        <v>515</v>
      </c>
      <c r="D563" s="270" t="s">
        <v>28</v>
      </c>
      <c r="E563" s="27" t="s">
        <v>23</v>
      </c>
      <c r="F563" s="72">
        <f>(0.6*7.8)*2+(8.4*0.6)*2+(7.25*0.6)*2</f>
        <v>28.139999999999997</v>
      </c>
      <c r="G563" s="11">
        <v>396000</v>
      </c>
      <c r="H563" s="45">
        <v>0.8</v>
      </c>
      <c r="I563" s="31">
        <v>1.1479999999999999</v>
      </c>
      <c r="J563" s="223">
        <f t="shared" si="52"/>
        <v>10234000</v>
      </c>
      <c r="K563" s="39">
        <f t="shared" si="48"/>
        <v>10234000</v>
      </c>
      <c r="L563" s="261">
        <f t="shared" si="49"/>
        <v>0</v>
      </c>
      <c r="M563" s="14"/>
    </row>
    <row r="564" spans="1:13" ht="39" customHeight="1" x14ac:dyDescent="0.3">
      <c r="A564" s="69"/>
      <c r="B564" s="8"/>
      <c r="C564" s="82" t="s">
        <v>1107</v>
      </c>
      <c r="D564" s="270" t="s">
        <v>31</v>
      </c>
      <c r="E564" s="71" t="s">
        <v>23</v>
      </c>
      <c r="F564" s="75">
        <f>3.9*6.6</f>
        <v>25.74</v>
      </c>
      <c r="G564" s="29">
        <v>339000</v>
      </c>
      <c r="H564" s="45">
        <v>0.8</v>
      </c>
      <c r="I564" s="31">
        <v>1.1479999999999999</v>
      </c>
      <c r="J564" s="223">
        <f t="shared" si="52"/>
        <v>8014000</v>
      </c>
      <c r="K564" s="39">
        <f t="shared" si="48"/>
        <v>8014000</v>
      </c>
      <c r="L564" s="261">
        <f t="shared" si="49"/>
        <v>0</v>
      </c>
      <c r="M564" s="14"/>
    </row>
    <row r="565" spans="1:13" ht="38.25" x14ac:dyDescent="0.3">
      <c r="A565" s="69"/>
      <c r="B565" s="8"/>
      <c r="C565" s="82" t="s">
        <v>1108</v>
      </c>
      <c r="D565" s="271" t="s">
        <v>32</v>
      </c>
      <c r="E565" s="27" t="s">
        <v>23</v>
      </c>
      <c r="F565" s="72">
        <f>6.6*7.2+6.6*7.5</f>
        <v>97.02</v>
      </c>
      <c r="G565" s="29">
        <v>215000</v>
      </c>
      <c r="H565" s="45">
        <v>0.8</v>
      </c>
      <c r="I565" s="31">
        <v>1.1479999999999999</v>
      </c>
      <c r="J565" s="223">
        <f t="shared" si="52"/>
        <v>19157000</v>
      </c>
      <c r="K565" s="39">
        <f t="shared" si="48"/>
        <v>19157000</v>
      </c>
      <c r="L565" s="261">
        <f t="shared" si="49"/>
        <v>0</v>
      </c>
      <c r="M565" s="14"/>
    </row>
    <row r="566" spans="1:13" ht="45.75" customHeight="1" x14ac:dyDescent="0.3">
      <c r="A566" s="69"/>
      <c r="B566" s="8"/>
      <c r="C566" s="82" t="s">
        <v>321</v>
      </c>
      <c r="D566" s="278" t="s">
        <v>38</v>
      </c>
      <c r="E566" s="141" t="s">
        <v>39</v>
      </c>
      <c r="F566" s="98">
        <v>2</v>
      </c>
      <c r="G566" s="145">
        <v>1018000</v>
      </c>
      <c r="H566" s="45">
        <v>0.8</v>
      </c>
      <c r="I566" s="146">
        <v>1.1479999999999999</v>
      </c>
      <c r="J566" s="226">
        <f t="shared" si="52"/>
        <v>1870000</v>
      </c>
      <c r="K566" s="39">
        <f t="shared" si="48"/>
        <v>1870000</v>
      </c>
      <c r="L566" s="261">
        <f t="shared" si="49"/>
        <v>0</v>
      </c>
      <c r="M566" s="14"/>
    </row>
    <row r="567" spans="1:13" ht="37.5" x14ac:dyDescent="0.3">
      <c r="A567" s="69"/>
      <c r="B567" s="8"/>
      <c r="C567" s="82" t="s">
        <v>862</v>
      </c>
      <c r="D567" s="270" t="s">
        <v>90</v>
      </c>
      <c r="E567" s="71" t="s">
        <v>23</v>
      </c>
      <c r="F567" s="75">
        <f>3.8*5.8+6.4*0.6+6.9*0.4</f>
        <v>28.64</v>
      </c>
      <c r="G567" s="29">
        <v>181000</v>
      </c>
      <c r="H567" s="45">
        <v>0.8</v>
      </c>
      <c r="I567" s="31">
        <v>1.1479999999999999</v>
      </c>
      <c r="J567" s="223">
        <f t="shared" si="52"/>
        <v>4761000</v>
      </c>
      <c r="K567" s="39">
        <f t="shared" si="48"/>
        <v>4761000</v>
      </c>
      <c r="L567" s="261">
        <f t="shared" si="49"/>
        <v>0</v>
      </c>
      <c r="M567" s="14"/>
    </row>
    <row r="568" spans="1:13" ht="56.25" x14ac:dyDescent="0.3">
      <c r="A568" s="69"/>
      <c r="B568" s="8"/>
      <c r="C568" s="82" t="s">
        <v>516</v>
      </c>
      <c r="D568" s="193" t="s">
        <v>874</v>
      </c>
      <c r="E568" s="212" t="s">
        <v>929</v>
      </c>
      <c r="F568" s="195">
        <f>4.2*4.2</f>
        <v>17.64</v>
      </c>
      <c r="G568" s="46">
        <f>139000+(6605000*2)</f>
        <v>13349000</v>
      </c>
      <c r="H568" s="45">
        <v>0.8</v>
      </c>
      <c r="I568" s="31">
        <v>1.1479999999999999</v>
      </c>
      <c r="J568" s="224">
        <f t="shared" si="52"/>
        <v>216261000</v>
      </c>
      <c r="K568" s="39">
        <f t="shared" si="48"/>
        <v>216261000</v>
      </c>
      <c r="L568" s="261">
        <f t="shared" si="49"/>
        <v>0</v>
      </c>
      <c r="M568" s="14"/>
    </row>
    <row r="569" spans="1:13" ht="52.5" x14ac:dyDescent="0.3">
      <c r="A569" s="69"/>
      <c r="B569" s="8"/>
      <c r="C569" s="82" t="s">
        <v>517</v>
      </c>
      <c r="D569" s="193" t="s">
        <v>874</v>
      </c>
      <c r="E569" s="194" t="s">
        <v>875</v>
      </c>
      <c r="F569" s="195">
        <v>1</v>
      </c>
      <c r="G569" s="29">
        <v>4718000</v>
      </c>
      <c r="H569" s="45">
        <v>0.8</v>
      </c>
      <c r="I569" s="31">
        <v>1.1479999999999999</v>
      </c>
      <c r="J569" s="224">
        <f t="shared" si="52"/>
        <v>4333000</v>
      </c>
      <c r="K569" s="39">
        <f t="shared" si="48"/>
        <v>4333000</v>
      </c>
      <c r="L569" s="261">
        <f t="shared" si="49"/>
        <v>0</v>
      </c>
      <c r="M569" s="14"/>
    </row>
    <row r="570" spans="1:13" ht="25.5" x14ac:dyDescent="0.3">
      <c r="A570" s="69"/>
      <c r="B570" s="8"/>
      <c r="C570" s="82" t="s">
        <v>518</v>
      </c>
      <c r="D570" s="192" t="s">
        <v>58</v>
      </c>
      <c r="E570" s="27" t="s">
        <v>35</v>
      </c>
      <c r="F570" s="196">
        <v>1</v>
      </c>
      <c r="G570" s="29">
        <v>1065100</v>
      </c>
      <c r="H570" s="50">
        <v>1</v>
      </c>
      <c r="I570" s="51">
        <v>1</v>
      </c>
      <c r="J570" s="223">
        <f t="shared" si="52"/>
        <v>1065000</v>
      </c>
      <c r="K570" s="39">
        <f t="shared" si="48"/>
        <v>1065000</v>
      </c>
      <c r="L570" s="261">
        <f t="shared" si="49"/>
        <v>0</v>
      </c>
      <c r="M570" s="14"/>
    </row>
    <row r="571" spans="1:13" ht="37.5" x14ac:dyDescent="0.3">
      <c r="A571" s="69"/>
      <c r="B571" s="8"/>
      <c r="C571" s="82" t="s">
        <v>519</v>
      </c>
      <c r="D571" s="272" t="s">
        <v>33</v>
      </c>
      <c r="E571" s="27" t="s">
        <v>23</v>
      </c>
      <c r="F571" s="72">
        <f>(3.4*1.3)*5+0.8*1</f>
        <v>22.900000000000002</v>
      </c>
      <c r="G571" s="29">
        <v>453000</v>
      </c>
      <c r="H571" s="45">
        <v>0.8</v>
      </c>
      <c r="I571" s="31">
        <v>1.1479999999999999</v>
      </c>
      <c r="J571" s="223">
        <f t="shared" si="52"/>
        <v>9527000</v>
      </c>
      <c r="K571" s="39">
        <f t="shared" si="48"/>
        <v>9527000</v>
      </c>
      <c r="L571" s="261">
        <f t="shared" si="49"/>
        <v>0</v>
      </c>
      <c r="M571" s="158"/>
    </row>
    <row r="572" spans="1:13" ht="38.25" x14ac:dyDescent="0.3">
      <c r="A572" s="69"/>
      <c r="B572" s="8"/>
      <c r="C572" s="82" t="s">
        <v>520</v>
      </c>
      <c r="D572" s="267" t="s">
        <v>89</v>
      </c>
      <c r="E572" s="71" t="s">
        <v>23</v>
      </c>
      <c r="F572" s="72">
        <f>(3.4*1.3)*5</f>
        <v>22.1</v>
      </c>
      <c r="G572" s="29">
        <v>11000</v>
      </c>
      <c r="H572" s="45">
        <v>0.8</v>
      </c>
      <c r="I572" s="31">
        <v>1.1479999999999999</v>
      </c>
      <c r="J572" s="223">
        <f t="shared" si="52"/>
        <v>223000</v>
      </c>
      <c r="K572" s="39">
        <f t="shared" si="48"/>
        <v>223000</v>
      </c>
      <c r="L572" s="261">
        <f t="shared" si="49"/>
        <v>0</v>
      </c>
      <c r="M572" s="14"/>
    </row>
    <row r="573" spans="1:13" ht="25.5" x14ac:dyDescent="0.3">
      <c r="A573" s="69"/>
      <c r="B573" s="8"/>
      <c r="C573" s="82" t="s">
        <v>521</v>
      </c>
      <c r="D573" s="279" t="s">
        <v>825</v>
      </c>
      <c r="E573" s="71" t="s">
        <v>35</v>
      </c>
      <c r="F573" s="98">
        <v>1</v>
      </c>
      <c r="G573" s="29">
        <v>4260400</v>
      </c>
      <c r="H573" s="37">
        <v>1</v>
      </c>
      <c r="I573" s="201">
        <v>1</v>
      </c>
      <c r="J573" s="223">
        <f t="shared" si="52"/>
        <v>4260000</v>
      </c>
      <c r="K573" s="39">
        <f t="shared" si="48"/>
        <v>4260000</v>
      </c>
      <c r="L573" s="261">
        <f t="shared" si="49"/>
        <v>0</v>
      </c>
      <c r="M573" s="14"/>
    </row>
    <row r="574" spans="1:13" ht="25.5" x14ac:dyDescent="0.3">
      <c r="A574" s="69"/>
      <c r="B574" s="8"/>
      <c r="C574" s="82" t="s">
        <v>522</v>
      </c>
      <c r="D574" s="192" t="s">
        <v>58</v>
      </c>
      <c r="E574" s="27" t="s">
        <v>35</v>
      </c>
      <c r="F574" s="196">
        <v>2</v>
      </c>
      <c r="G574" s="29">
        <v>21300</v>
      </c>
      <c r="H574" s="50">
        <v>1</v>
      </c>
      <c r="I574" s="51">
        <v>1</v>
      </c>
      <c r="J574" s="223">
        <f t="shared" si="52"/>
        <v>43000</v>
      </c>
      <c r="K574" s="39">
        <f t="shared" si="48"/>
        <v>43000</v>
      </c>
      <c r="L574" s="261">
        <f t="shared" si="49"/>
        <v>0</v>
      </c>
      <c r="M574" s="14"/>
    </row>
    <row r="575" spans="1:13" ht="25.5" x14ac:dyDescent="0.3">
      <c r="A575" s="69"/>
      <c r="B575" s="8"/>
      <c r="C575" s="82" t="s">
        <v>523</v>
      </c>
      <c r="D575" s="192" t="s">
        <v>58</v>
      </c>
      <c r="E575" s="27" t="s">
        <v>35</v>
      </c>
      <c r="F575" s="196">
        <v>1</v>
      </c>
      <c r="G575" s="29">
        <v>532550</v>
      </c>
      <c r="H575" s="50">
        <v>1</v>
      </c>
      <c r="I575" s="51">
        <v>1</v>
      </c>
      <c r="J575" s="223">
        <f t="shared" si="52"/>
        <v>533000</v>
      </c>
      <c r="K575" s="39">
        <f t="shared" si="48"/>
        <v>533000</v>
      </c>
      <c r="L575" s="261">
        <f t="shared" si="49"/>
        <v>0</v>
      </c>
      <c r="M575" s="14"/>
    </row>
    <row r="576" spans="1:13" ht="36" customHeight="1" x14ac:dyDescent="0.3">
      <c r="A576" s="69"/>
      <c r="B576" s="8"/>
      <c r="C576" s="82" t="s">
        <v>524</v>
      </c>
      <c r="D576" s="276" t="s">
        <v>41</v>
      </c>
      <c r="E576" s="59" t="s">
        <v>42</v>
      </c>
      <c r="F576" s="98">
        <v>14</v>
      </c>
      <c r="G576" s="11">
        <v>31950</v>
      </c>
      <c r="H576" s="60">
        <v>1</v>
      </c>
      <c r="I576" s="61">
        <v>1</v>
      </c>
      <c r="J576" s="223">
        <f t="shared" si="52"/>
        <v>447000</v>
      </c>
      <c r="K576" s="39">
        <f t="shared" si="48"/>
        <v>447000</v>
      </c>
      <c r="L576" s="261">
        <f t="shared" si="49"/>
        <v>0</v>
      </c>
      <c r="M576" s="14"/>
    </row>
    <row r="577" spans="1:256" ht="36" customHeight="1" x14ac:dyDescent="0.3">
      <c r="A577" s="69"/>
      <c r="B577" s="8"/>
      <c r="C577" s="82" t="s">
        <v>525</v>
      </c>
      <c r="D577" s="276" t="s">
        <v>41</v>
      </c>
      <c r="E577" s="59" t="s">
        <v>42</v>
      </c>
      <c r="F577" s="98">
        <v>22</v>
      </c>
      <c r="G577" s="11">
        <v>10650</v>
      </c>
      <c r="H577" s="60">
        <v>1</v>
      </c>
      <c r="I577" s="61">
        <v>1</v>
      </c>
      <c r="J577" s="223">
        <f t="shared" si="52"/>
        <v>234000</v>
      </c>
      <c r="K577" s="39">
        <f t="shared" si="48"/>
        <v>234000</v>
      </c>
      <c r="L577" s="261">
        <f t="shared" si="49"/>
        <v>0</v>
      </c>
      <c r="M577" s="14"/>
    </row>
    <row r="578" spans="1:256" ht="37.5" x14ac:dyDescent="0.3">
      <c r="A578" s="69"/>
      <c r="B578" s="8"/>
      <c r="C578" s="82" t="s">
        <v>827</v>
      </c>
      <c r="D578" s="277" t="s">
        <v>824</v>
      </c>
      <c r="E578" s="174" t="s">
        <v>828</v>
      </c>
      <c r="F578" s="72">
        <f>28.9*0.35</f>
        <v>10.114999999999998</v>
      </c>
      <c r="G578" s="180">
        <v>3200</v>
      </c>
      <c r="H578" s="50">
        <v>1</v>
      </c>
      <c r="I578" s="51">
        <v>1</v>
      </c>
      <c r="J578" s="229">
        <f t="shared" si="52"/>
        <v>32000</v>
      </c>
      <c r="K578" s="39">
        <f t="shared" si="48"/>
        <v>32000</v>
      </c>
      <c r="L578" s="261">
        <f t="shared" si="49"/>
        <v>0</v>
      </c>
      <c r="M578" s="14"/>
    </row>
    <row r="579" spans="1:256" ht="61.5" customHeight="1" x14ac:dyDescent="0.3">
      <c r="A579" s="149">
        <v>32</v>
      </c>
      <c r="B579" s="150" t="s">
        <v>1346</v>
      </c>
      <c r="C579" s="461" t="s">
        <v>1347</v>
      </c>
      <c r="D579" s="462"/>
      <c r="E579" s="462"/>
      <c r="F579" s="462"/>
      <c r="G579" s="462"/>
      <c r="H579" s="462"/>
      <c r="I579" s="463"/>
      <c r="J579" s="221">
        <f>SUM(J580:J591)</f>
        <v>1314125000</v>
      </c>
      <c r="K579" s="39">
        <f t="shared" si="48"/>
        <v>0</v>
      </c>
      <c r="L579" s="261">
        <f t="shared" si="49"/>
        <v>1314125000</v>
      </c>
      <c r="M579" s="24"/>
    </row>
    <row r="580" spans="1:256" s="290" customFormat="1" ht="78.75" customHeight="1" x14ac:dyDescent="0.3">
      <c r="A580" s="211"/>
      <c r="B580" s="17"/>
      <c r="C580" s="25" t="s">
        <v>1109</v>
      </c>
      <c r="D580" s="267" t="s">
        <v>112</v>
      </c>
      <c r="E580" s="27" t="s">
        <v>23</v>
      </c>
      <c r="F580" s="35">
        <v>179.8</v>
      </c>
      <c r="G580" s="49">
        <v>8700000</v>
      </c>
      <c r="H580" s="286">
        <f>59.5%</f>
        <v>0.59499999999999997</v>
      </c>
      <c r="I580" s="268">
        <v>1.4</v>
      </c>
      <c r="J580" s="32">
        <f>ROUND(F580*G580*H580*I580,-3)</f>
        <v>1303029000</v>
      </c>
      <c r="K580" s="39">
        <f t="shared" si="48"/>
        <v>1303029000</v>
      </c>
      <c r="L580" s="262">
        <f>J580-K580</f>
        <v>0</v>
      </c>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c r="CF580" s="14"/>
      <c r="CG580" s="14"/>
      <c r="CH580" s="14"/>
      <c r="CI580" s="14"/>
      <c r="CJ580" s="14"/>
      <c r="CK580" s="14"/>
      <c r="CL580" s="14"/>
      <c r="CM580" s="14"/>
      <c r="CN580" s="14"/>
      <c r="CO580" s="14"/>
      <c r="CP580" s="14"/>
      <c r="CQ580" s="14"/>
      <c r="CR580" s="14"/>
      <c r="CS580" s="14"/>
      <c r="CT580" s="14"/>
      <c r="CU580" s="14"/>
      <c r="CV580" s="14"/>
      <c r="CW580" s="14"/>
      <c r="CX580" s="14"/>
      <c r="CY580" s="14"/>
      <c r="CZ580" s="14"/>
      <c r="DA580" s="14"/>
      <c r="DB580" s="14"/>
      <c r="DC580" s="14"/>
      <c r="DD580" s="14"/>
      <c r="DE580" s="14"/>
      <c r="DF580" s="14"/>
      <c r="DG580" s="14"/>
      <c r="DH580" s="14"/>
      <c r="DI580" s="14"/>
      <c r="DJ580" s="14"/>
      <c r="DK580" s="14"/>
      <c r="DL580" s="14"/>
      <c r="DM580" s="14"/>
      <c r="DN580" s="14"/>
      <c r="DO580" s="14"/>
      <c r="DP580" s="14"/>
      <c r="DQ580" s="14"/>
      <c r="DR580" s="14"/>
      <c r="DS580" s="14"/>
      <c r="DT580" s="14"/>
      <c r="DU580" s="14"/>
      <c r="DV580" s="14"/>
      <c r="DW580" s="14"/>
      <c r="DX580" s="14"/>
      <c r="DY580" s="14"/>
      <c r="DZ580" s="14"/>
      <c r="EA580" s="14"/>
      <c r="EB580" s="14"/>
      <c r="EC580" s="14"/>
      <c r="ED580" s="14"/>
      <c r="EE580" s="14"/>
      <c r="EF580" s="14"/>
      <c r="EG580" s="14"/>
      <c r="EH580" s="14"/>
      <c r="EI580" s="14"/>
      <c r="EJ580" s="14"/>
      <c r="EK580" s="14"/>
      <c r="EL580" s="14"/>
      <c r="EM580" s="14"/>
      <c r="EN580" s="14"/>
      <c r="EO580" s="14"/>
      <c r="EP580" s="14"/>
      <c r="EQ580" s="14"/>
      <c r="ER580" s="14"/>
      <c r="ES580" s="14"/>
      <c r="ET580" s="14"/>
      <c r="EU580" s="14"/>
      <c r="EV580" s="14"/>
      <c r="EW580" s="14"/>
      <c r="EX580" s="14"/>
      <c r="EY580" s="14"/>
      <c r="EZ580" s="14"/>
      <c r="FA580" s="14"/>
      <c r="FB580" s="14"/>
      <c r="FC580" s="14"/>
      <c r="FD580" s="14"/>
      <c r="FE580" s="14"/>
      <c r="FF580" s="14"/>
      <c r="FG580" s="14"/>
      <c r="FH580" s="14"/>
      <c r="FI580" s="14"/>
      <c r="FJ580" s="14"/>
      <c r="FK580" s="14"/>
      <c r="FL580" s="14"/>
      <c r="FM580" s="14"/>
      <c r="FN580" s="14"/>
      <c r="FO580" s="14"/>
      <c r="FP580" s="14"/>
      <c r="FQ580" s="14"/>
      <c r="FR580" s="14"/>
      <c r="FS580" s="14"/>
      <c r="FT580" s="14"/>
      <c r="FU580" s="14"/>
      <c r="FV580" s="14"/>
      <c r="FW580" s="14"/>
      <c r="FX580" s="14"/>
      <c r="FY580" s="14"/>
      <c r="FZ580" s="14"/>
      <c r="GA580" s="14"/>
      <c r="GB580" s="14"/>
      <c r="GC580" s="14"/>
      <c r="GD580" s="14"/>
      <c r="GE580" s="14"/>
      <c r="GF580" s="14"/>
      <c r="GG580" s="14"/>
      <c r="GH580" s="14"/>
      <c r="GI580" s="14"/>
      <c r="GJ580" s="14"/>
      <c r="GK580" s="14"/>
      <c r="GL580" s="14"/>
      <c r="GM580" s="14"/>
      <c r="GN580" s="14"/>
      <c r="GO580" s="14"/>
      <c r="GP580" s="14"/>
      <c r="GQ580" s="14"/>
      <c r="GR580" s="14"/>
      <c r="GS580" s="14"/>
      <c r="GT580" s="14"/>
      <c r="GU580" s="14"/>
      <c r="GV580" s="14"/>
      <c r="GW580" s="14"/>
      <c r="GX580" s="14"/>
      <c r="GY580" s="14"/>
      <c r="GZ580" s="14"/>
      <c r="HA580" s="14"/>
      <c r="HB580" s="14"/>
      <c r="HC580" s="14"/>
      <c r="HD580" s="14"/>
      <c r="HE580" s="14"/>
      <c r="HF580" s="14"/>
      <c r="HG580" s="14"/>
      <c r="HH580" s="14"/>
      <c r="HI580" s="14"/>
      <c r="HJ580" s="14"/>
      <c r="HK580" s="14"/>
      <c r="HL580" s="14"/>
      <c r="HM580" s="14"/>
      <c r="HN580" s="14"/>
      <c r="HO580" s="14"/>
      <c r="HP580" s="14"/>
      <c r="HQ580" s="14"/>
      <c r="HR580" s="14"/>
      <c r="HS580" s="14"/>
      <c r="HT580" s="14"/>
      <c r="HU580" s="14"/>
      <c r="HV580" s="14"/>
      <c r="HW580" s="14"/>
      <c r="HX580" s="14"/>
      <c r="HY580" s="14"/>
      <c r="HZ580" s="14"/>
      <c r="IA580" s="14"/>
      <c r="IB580" s="14"/>
      <c r="IC580" s="14"/>
      <c r="ID580" s="14"/>
      <c r="IE580" s="14"/>
      <c r="IF580" s="14"/>
      <c r="IG580" s="14"/>
      <c r="IH580" s="14"/>
      <c r="II580" s="14"/>
      <c r="IJ580" s="14"/>
      <c r="IK580" s="14"/>
      <c r="IL580" s="14"/>
      <c r="IM580" s="14"/>
      <c r="IN580" s="14"/>
      <c r="IO580" s="14"/>
      <c r="IP580" s="14"/>
      <c r="IQ580" s="14"/>
      <c r="IR580" s="14"/>
      <c r="IS580" s="14"/>
      <c r="IT580" s="14"/>
      <c r="IU580" s="14"/>
      <c r="IV580" s="14"/>
    </row>
    <row r="581" spans="1:256" ht="90" customHeight="1" x14ac:dyDescent="0.25">
      <c r="A581" s="67"/>
      <c r="B581" s="68"/>
      <c r="C581" s="25" t="s">
        <v>1062</v>
      </c>
      <c r="D581" s="267" t="s">
        <v>112</v>
      </c>
      <c r="E581" s="27" t="s">
        <v>23</v>
      </c>
      <c r="F581" s="35">
        <v>49.4</v>
      </c>
      <c r="G581" s="464" t="s">
        <v>1063</v>
      </c>
      <c r="H581" s="464"/>
      <c r="I581" s="465"/>
      <c r="J581" s="227"/>
      <c r="K581" s="39"/>
      <c r="L581" s="261">
        <f>J581-K581</f>
        <v>0</v>
      </c>
      <c r="M581" s="251"/>
    </row>
    <row r="582" spans="1:256" ht="38.25" x14ac:dyDescent="0.3">
      <c r="A582" s="69"/>
      <c r="B582" s="8"/>
      <c r="C582" s="82" t="s">
        <v>1348</v>
      </c>
      <c r="D582" s="267" t="s">
        <v>24</v>
      </c>
      <c r="E582" s="27" t="s">
        <v>25</v>
      </c>
      <c r="F582" s="72">
        <f>(0.15*0.15*2)*12</f>
        <v>0.54</v>
      </c>
      <c r="G582" s="29">
        <v>2828000</v>
      </c>
      <c r="H582" s="45">
        <v>0.8</v>
      </c>
      <c r="I582" s="31">
        <v>1.1479999999999999</v>
      </c>
      <c r="J582" s="223">
        <f t="shared" ref="J582:J591" si="53">ROUND(F582*G582*H582*I582,-3)</f>
        <v>1403000</v>
      </c>
      <c r="K582" s="39">
        <f t="shared" si="48"/>
        <v>1403000</v>
      </c>
      <c r="M582" s="14"/>
    </row>
    <row r="583" spans="1:256" ht="38.25" x14ac:dyDescent="0.3">
      <c r="A583" s="69"/>
      <c r="B583" s="8"/>
      <c r="C583" s="82" t="s">
        <v>1349</v>
      </c>
      <c r="D583" s="267" t="s">
        <v>89</v>
      </c>
      <c r="E583" s="71" t="s">
        <v>23</v>
      </c>
      <c r="F583" s="72">
        <f>34.5*2.5+8.4*2.5</f>
        <v>107.25</v>
      </c>
      <c r="G583" s="29">
        <v>11000</v>
      </c>
      <c r="H583" s="45">
        <v>0.8</v>
      </c>
      <c r="I583" s="31">
        <v>1.1479999999999999</v>
      </c>
      <c r="J583" s="223">
        <f t="shared" si="53"/>
        <v>1083000</v>
      </c>
      <c r="K583" s="39">
        <f t="shared" ref="K583:K646" si="54">ROUND(F583*G583*H583*I583,-3)</f>
        <v>1083000</v>
      </c>
      <c r="M583" s="14"/>
    </row>
    <row r="584" spans="1:256" ht="25.5" x14ac:dyDescent="0.3">
      <c r="A584" s="69"/>
      <c r="B584" s="8"/>
      <c r="C584" s="82" t="s">
        <v>1350</v>
      </c>
      <c r="D584" s="192" t="s">
        <v>58</v>
      </c>
      <c r="E584" s="27" t="s">
        <v>35</v>
      </c>
      <c r="F584" s="98">
        <v>3</v>
      </c>
      <c r="G584" s="29">
        <v>1065100</v>
      </c>
      <c r="H584" s="50">
        <v>1</v>
      </c>
      <c r="I584" s="51">
        <v>1</v>
      </c>
      <c r="J584" s="223">
        <f t="shared" si="53"/>
        <v>3195000</v>
      </c>
      <c r="K584" s="39">
        <f t="shared" si="54"/>
        <v>3195000</v>
      </c>
      <c r="M584" s="14"/>
    </row>
    <row r="585" spans="1:256" ht="25.5" x14ac:dyDescent="0.3">
      <c r="A585" s="69"/>
      <c r="B585" s="8"/>
      <c r="C585" s="82" t="s">
        <v>433</v>
      </c>
      <c r="D585" s="277" t="s">
        <v>164</v>
      </c>
      <c r="E585" s="27" t="s">
        <v>35</v>
      </c>
      <c r="F585" s="98">
        <v>1</v>
      </c>
      <c r="G585" s="29">
        <v>40910</v>
      </c>
      <c r="H585" s="50">
        <v>1</v>
      </c>
      <c r="I585" s="51">
        <v>1</v>
      </c>
      <c r="J585" s="223">
        <f t="shared" si="53"/>
        <v>41000</v>
      </c>
      <c r="K585" s="39">
        <f t="shared" si="54"/>
        <v>41000</v>
      </c>
      <c r="M585" s="14"/>
    </row>
    <row r="586" spans="1:256" ht="25.5" x14ac:dyDescent="0.3">
      <c r="A586" s="69"/>
      <c r="B586" s="8"/>
      <c r="C586" s="82" t="s">
        <v>1351</v>
      </c>
      <c r="D586" s="343" t="s">
        <v>867</v>
      </c>
      <c r="E586" s="182" t="s">
        <v>35</v>
      </c>
      <c r="F586" s="98">
        <v>51</v>
      </c>
      <c r="G586" s="29">
        <v>26730</v>
      </c>
      <c r="H586" s="45">
        <v>0.8</v>
      </c>
      <c r="I586" s="51">
        <v>1</v>
      </c>
      <c r="J586" s="224">
        <f t="shared" si="53"/>
        <v>1091000</v>
      </c>
      <c r="K586" s="39">
        <f t="shared" si="54"/>
        <v>1091000</v>
      </c>
      <c r="M586" s="14"/>
    </row>
    <row r="587" spans="1:256" ht="25.5" x14ac:dyDescent="0.3">
      <c r="A587" s="69"/>
      <c r="B587" s="8"/>
      <c r="C587" s="82" t="s">
        <v>1352</v>
      </c>
      <c r="D587" s="192" t="s">
        <v>100</v>
      </c>
      <c r="E587" s="27" t="s">
        <v>35</v>
      </c>
      <c r="F587" s="196">
        <v>88</v>
      </c>
      <c r="G587" s="29">
        <v>38340</v>
      </c>
      <c r="H587" s="50">
        <v>1</v>
      </c>
      <c r="I587" s="51">
        <v>1</v>
      </c>
      <c r="J587" s="223">
        <f t="shared" si="53"/>
        <v>3374000</v>
      </c>
      <c r="K587" s="39">
        <f t="shared" si="54"/>
        <v>3374000</v>
      </c>
      <c r="M587" s="14"/>
    </row>
    <row r="588" spans="1:256" ht="25.5" x14ac:dyDescent="0.3">
      <c r="A588" s="69"/>
      <c r="B588" s="8"/>
      <c r="C588" s="82" t="s">
        <v>1353</v>
      </c>
      <c r="D588" s="192" t="s">
        <v>102</v>
      </c>
      <c r="E588" s="27" t="s">
        <v>35</v>
      </c>
      <c r="F588" s="196">
        <v>1</v>
      </c>
      <c r="G588" s="29">
        <v>75620</v>
      </c>
      <c r="H588" s="50">
        <v>1</v>
      </c>
      <c r="I588" s="51">
        <v>1</v>
      </c>
      <c r="J588" s="223">
        <f t="shared" si="53"/>
        <v>76000</v>
      </c>
      <c r="K588" s="39">
        <f t="shared" si="54"/>
        <v>76000</v>
      </c>
      <c r="M588" s="14"/>
    </row>
    <row r="589" spans="1:256" ht="25.5" x14ac:dyDescent="0.3">
      <c r="A589" s="69"/>
      <c r="B589" s="8"/>
      <c r="C589" s="82" t="s">
        <v>1354</v>
      </c>
      <c r="D589" s="192" t="s">
        <v>1355</v>
      </c>
      <c r="E589" s="27" t="s">
        <v>23</v>
      </c>
      <c r="F589" s="196">
        <v>68</v>
      </c>
      <c r="G589" s="29">
        <v>4220</v>
      </c>
      <c r="H589" s="50">
        <v>1</v>
      </c>
      <c r="I589" s="51">
        <v>1</v>
      </c>
      <c r="J589" s="223">
        <f t="shared" si="53"/>
        <v>287000</v>
      </c>
      <c r="K589" s="39">
        <f t="shared" si="54"/>
        <v>287000</v>
      </c>
      <c r="M589" s="14"/>
    </row>
    <row r="590" spans="1:256" ht="38.25" x14ac:dyDescent="0.3">
      <c r="A590" s="69"/>
      <c r="B590" s="8"/>
      <c r="C590" s="82" t="s">
        <v>115</v>
      </c>
      <c r="D590" s="273" t="s">
        <v>44</v>
      </c>
      <c r="E590" s="63" t="s">
        <v>45</v>
      </c>
      <c r="F590" s="77">
        <v>8.5</v>
      </c>
      <c r="G590" s="46">
        <v>28000</v>
      </c>
      <c r="H590" s="45">
        <v>1</v>
      </c>
      <c r="I590" s="31">
        <v>1.1479999999999999</v>
      </c>
      <c r="J590" s="223">
        <f t="shared" si="53"/>
        <v>273000</v>
      </c>
      <c r="K590" s="39">
        <f t="shared" si="54"/>
        <v>273000</v>
      </c>
      <c r="M590" s="14"/>
    </row>
    <row r="591" spans="1:256" ht="38.25" x14ac:dyDescent="0.3">
      <c r="A591" s="69"/>
      <c r="B591" s="8"/>
      <c r="C591" s="82" t="s">
        <v>114</v>
      </c>
      <c r="D591" s="271" t="s">
        <v>47</v>
      </c>
      <c r="E591" s="63" t="s">
        <v>45</v>
      </c>
      <c r="F591" s="77">
        <v>8.5</v>
      </c>
      <c r="G591" s="46">
        <v>28000</v>
      </c>
      <c r="H591" s="45">
        <v>1</v>
      </c>
      <c r="I591" s="31">
        <v>1.1479999999999999</v>
      </c>
      <c r="J591" s="223">
        <f t="shared" si="53"/>
        <v>273000</v>
      </c>
      <c r="K591" s="39">
        <f t="shared" si="54"/>
        <v>273000</v>
      </c>
      <c r="M591" s="14"/>
    </row>
    <row r="592" spans="1:256" ht="61.5" customHeight="1" x14ac:dyDescent="0.3">
      <c r="A592" s="149">
        <v>33</v>
      </c>
      <c r="B592" s="150" t="s">
        <v>526</v>
      </c>
      <c r="C592" s="455" t="s">
        <v>527</v>
      </c>
      <c r="D592" s="456"/>
      <c r="E592" s="456"/>
      <c r="F592" s="456"/>
      <c r="G592" s="456"/>
      <c r="H592" s="456"/>
      <c r="I592" s="457"/>
      <c r="J592" s="221">
        <f>SUM(J593:J608)</f>
        <v>72589000</v>
      </c>
      <c r="K592" s="39">
        <f t="shared" si="54"/>
        <v>0</v>
      </c>
      <c r="L592" s="261">
        <f t="shared" si="49"/>
        <v>72589000</v>
      </c>
      <c r="M592" s="24"/>
    </row>
    <row r="593" spans="1:13" ht="90" customHeight="1" x14ac:dyDescent="0.3">
      <c r="A593" s="67"/>
      <c r="B593" s="68"/>
      <c r="C593" s="20" t="s">
        <v>528</v>
      </c>
      <c r="D593" s="267"/>
      <c r="E593" s="27" t="s">
        <v>23</v>
      </c>
      <c r="F593" s="35">
        <v>24.6</v>
      </c>
      <c r="G593" s="464" t="s">
        <v>1040</v>
      </c>
      <c r="H593" s="464"/>
      <c r="I593" s="465"/>
      <c r="J593" s="227"/>
      <c r="K593" s="39"/>
      <c r="L593" s="261">
        <f t="shared" si="49"/>
        <v>0</v>
      </c>
      <c r="M593" s="14"/>
    </row>
    <row r="594" spans="1:13" ht="61.5" customHeight="1" x14ac:dyDescent="0.3">
      <c r="A594" s="69"/>
      <c r="B594" s="8"/>
      <c r="C594" s="82" t="s">
        <v>529</v>
      </c>
      <c r="D594" s="192" t="s">
        <v>877</v>
      </c>
      <c r="E594" s="174" t="s">
        <v>828</v>
      </c>
      <c r="F594" s="89">
        <f>7.3*4.6</f>
        <v>33.58</v>
      </c>
      <c r="G594" s="39">
        <v>284000</v>
      </c>
      <c r="H594" s="45">
        <v>0.8</v>
      </c>
      <c r="I594" s="159">
        <v>1.1479999999999999</v>
      </c>
      <c r="J594" s="224">
        <f t="shared" ref="J594:J608" si="55">ROUND(F594*G594*H594*I594,-3)</f>
        <v>8759000</v>
      </c>
      <c r="K594" s="39">
        <f t="shared" si="54"/>
        <v>8759000</v>
      </c>
      <c r="L594" s="261">
        <f t="shared" si="49"/>
        <v>0</v>
      </c>
      <c r="M594" s="14"/>
    </row>
    <row r="595" spans="1:13" ht="61.5" customHeight="1" x14ac:dyDescent="0.3">
      <c r="A595" s="69"/>
      <c r="B595" s="8"/>
      <c r="C595" s="70" t="s">
        <v>530</v>
      </c>
      <c r="D595" s="270" t="s">
        <v>66</v>
      </c>
      <c r="E595" s="27" t="s">
        <v>23</v>
      </c>
      <c r="F595" s="72">
        <f>4.6*0.25</f>
        <v>1.1499999999999999</v>
      </c>
      <c r="G595" s="29">
        <v>339000</v>
      </c>
      <c r="H595" s="45">
        <v>0.8</v>
      </c>
      <c r="I595" s="31">
        <v>1.1479999999999999</v>
      </c>
      <c r="J595" s="223">
        <f t="shared" si="55"/>
        <v>358000</v>
      </c>
      <c r="K595" s="39">
        <f t="shared" si="54"/>
        <v>358000</v>
      </c>
      <c r="L595" s="261">
        <f t="shared" si="49"/>
        <v>0</v>
      </c>
      <c r="M595" s="14"/>
    </row>
    <row r="596" spans="1:13" ht="61.5" customHeight="1" x14ac:dyDescent="0.3">
      <c r="A596" s="69"/>
      <c r="B596" s="8"/>
      <c r="C596" s="82" t="s">
        <v>531</v>
      </c>
      <c r="D596" s="270" t="s">
        <v>29</v>
      </c>
      <c r="E596" s="27" t="s">
        <v>23</v>
      </c>
      <c r="F596" s="89">
        <f>5.3*1.8</f>
        <v>9.5399999999999991</v>
      </c>
      <c r="G596" s="29">
        <v>792000</v>
      </c>
      <c r="H596" s="45">
        <v>0.8</v>
      </c>
      <c r="I596" s="31">
        <v>1.1479999999999999</v>
      </c>
      <c r="J596" s="223">
        <f t="shared" si="55"/>
        <v>6939000</v>
      </c>
      <c r="K596" s="39">
        <f t="shared" si="54"/>
        <v>6939000</v>
      </c>
      <c r="L596" s="261">
        <f t="shared" si="49"/>
        <v>0</v>
      </c>
      <c r="M596" s="14"/>
    </row>
    <row r="597" spans="1:13" ht="61.5" customHeight="1" x14ac:dyDescent="0.3">
      <c r="A597" s="69"/>
      <c r="B597" s="8"/>
      <c r="C597" s="82" t="s">
        <v>532</v>
      </c>
      <c r="D597" s="270" t="s">
        <v>66</v>
      </c>
      <c r="E597" s="27" t="s">
        <v>23</v>
      </c>
      <c r="F597" s="72">
        <f>0.95*1.8+1.8*0.95</f>
        <v>3.42</v>
      </c>
      <c r="G597" s="29">
        <v>339000</v>
      </c>
      <c r="H597" s="45">
        <v>0.8</v>
      </c>
      <c r="I597" s="31">
        <v>1.1479999999999999</v>
      </c>
      <c r="J597" s="223">
        <f t="shared" si="55"/>
        <v>1065000</v>
      </c>
      <c r="K597" s="39">
        <f t="shared" si="54"/>
        <v>1065000</v>
      </c>
      <c r="L597" s="261">
        <f t="shared" si="49"/>
        <v>0</v>
      </c>
      <c r="M597" s="14"/>
    </row>
    <row r="598" spans="1:13" ht="61.5" customHeight="1" x14ac:dyDescent="0.3">
      <c r="A598" s="69"/>
      <c r="B598" s="8"/>
      <c r="C598" s="82" t="s">
        <v>533</v>
      </c>
      <c r="D598" s="270" t="s">
        <v>66</v>
      </c>
      <c r="E598" s="27" t="s">
        <v>23</v>
      </c>
      <c r="F598" s="72">
        <f>0.9*5.3+3.4*0.8</f>
        <v>7.49</v>
      </c>
      <c r="G598" s="29">
        <v>339000</v>
      </c>
      <c r="H598" s="45">
        <v>0.8</v>
      </c>
      <c r="I598" s="31">
        <v>1.1479999999999999</v>
      </c>
      <c r="J598" s="223">
        <f t="shared" si="55"/>
        <v>2332000</v>
      </c>
      <c r="K598" s="39">
        <f t="shared" si="54"/>
        <v>2332000</v>
      </c>
      <c r="L598" s="261">
        <f t="shared" si="49"/>
        <v>0</v>
      </c>
      <c r="M598" s="14"/>
    </row>
    <row r="599" spans="1:13" ht="61.5" customHeight="1" x14ac:dyDescent="0.3">
      <c r="A599" s="69"/>
      <c r="B599" s="8"/>
      <c r="C599" s="82" t="s">
        <v>823</v>
      </c>
      <c r="D599" s="270" t="s">
        <v>51</v>
      </c>
      <c r="E599" s="27" t="s">
        <v>23</v>
      </c>
      <c r="F599" s="72">
        <f>5.3*4.6</f>
        <v>24.38</v>
      </c>
      <c r="G599" s="29">
        <v>453000</v>
      </c>
      <c r="H599" s="45">
        <v>0.8</v>
      </c>
      <c r="I599" s="102">
        <v>1.1479999999999999</v>
      </c>
      <c r="J599" s="223">
        <f t="shared" si="55"/>
        <v>10143000</v>
      </c>
      <c r="K599" s="39">
        <f t="shared" si="54"/>
        <v>10143000</v>
      </c>
      <c r="L599" s="261">
        <f t="shared" si="49"/>
        <v>0</v>
      </c>
      <c r="M599" s="14"/>
    </row>
    <row r="600" spans="1:13" ht="61.5" customHeight="1" x14ac:dyDescent="0.3">
      <c r="A600" s="69"/>
      <c r="B600" s="8"/>
      <c r="C600" s="82" t="s">
        <v>534</v>
      </c>
      <c r="D600" s="270" t="s">
        <v>80</v>
      </c>
      <c r="E600" s="71" t="s">
        <v>23</v>
      </c>
      <c r="F600" s="72">
        <f>0.9*5.3</f>
        <v>4.7699999999999996</v>
      </c>
      <c r="G600" s="29">
        <v>385000</v>
      </c>
      <c r="H600" s="45">
        <v>0.8</v>
      </c>
      <c r="I600" s="31">
        <v>1.1479999999999999</v>
      </c>
      <c r="J600" s="223">
        <f t="shared" si="55"/>
        <v>1687000</v>
      </c>
      <c r="K600" s="39">
        <f t="shared" si="54"/>
        <v>1687000</v>
      </c>
      <c r="L600" s="261">
        <f t="shared" si="49"/>
        <v>0</v>
      </c>
      <c r="M600" s="14"/>
    </row>
    <row r="601" spans="1:13" ht="61.5" customHeight="1" x14ac:dyDescent="0.3">
      <c r="A601" s="69"/>
      <c r="B601" s="8"/>
      <c r="C601" s="82" t="s">
        <v>535</v>
      </c>
      <c r="D601" s="276" t="s">
        <v>41</v>
      </c>
      <c r="E601" s="59" t="s">
        <v>42</v>
      </c>
      <c r="F601" s="98">
        <v>1</v>
      </c>
      <c r="G601" s="11">
        <v>10650</v>
      </c>
      <c r="H601" s="60">
        <v>1</v>
      </c>
      <c r="I601" s="61">
        <v>1</v>
      </c>
      <c r="J601" s="223">
        <f t="shared" si="55"/>
        <v>11000</v>
      </c>
      <c r="K601" s="39">
        <f t="shared" si="54"/>
        <v>11000</v>
      </c>
      <c r="L601" s="261">
        <f t="shared" si="49"/>
        <v>0</v>
      </c>
      <c r="M601" s="14"/>
    </row>
    <row r="602" spans="1:13" ht="61.5" customHeight="1" x14ac:dyDescent="0.3">
      <c r="A602" s="69"/>
      <c r="B602" s="8"/>
      <c r="C602" s="82" t="s">
        <v>536</v>
      </c>
      <c r="D602" s="267" t="s">
        <v>56</v>
      </c>
      <c r="E602" s="27" t="s">
        <v>23</v>
      </c>
      <c r="F602" s="72">
        <f>5.5*4.6</f>
        <v>25.299999999999997</v>
      </c>
      <c r="G602" s="29">
        <v>735000</v>
      </c>
      <c r="H602" s="45">
        <v>0.8</v>
      </c>
      <c r="I602" s="31">
        <v>1.1479999999999999</v>
      </c>
      <c r="J602" s="223">
        <f t="shared" si="55"/>
        <v>17078000</v>
      </c>
      <c r="K602" s="39">
        <f t="shared" si="54"/>
        <v>17078000</v>
      </c>
      <c r="L602" s="261">
        <f t="shared" si="49"/>
        <v>0</v>
      </c>
      <c r="M602" s="14"/>
    </row>
    <row r="603" spans="1:13" ht="91.5" customHeight="1" x14ac:dyDescent="0.3">
      <c r="A603" s="69"/>
      <c r="B603" s="8"/>
      <c r="C603" s="82" t="s">
        <v>537</v>
      </c>
      <c r="D603" s="274" t="s">
        <v>538</v>
      </c>
      <c r="E603" s="27" t="s">
        <v>23</v>
      </c>
      <c r="F603" s="89">
        <f>5.3*3.5</f>
        <v>18.55</v>
      </c>
      <c r="G603" s="29">
        <f>1131000+99000</f>
        <v>1230000</v>
      </c>
      <c r="H603" s="45">
        <v>0.8</v>
      </c>
      <c r="I603" s="102">
        <v>1.1479999999999999</v>
      </c>
      <c r="J603" s="223">
        <f t="shared" si="55"/>
        <v>20955000</v>
      </c>
      <c r="K603" s="39">
        <f t="shared" si="54"/>
        <v>20955000</v>
      </c>
      <c r="L603" s="261">
        <f t="shared" si="49"/>
        <v>0</v>
      </c>
      <c r="M603" s="14"/>
    </row>
    <row r="604" spans="1:13" ht="61.5" customHeight="1" x14ac:dyDescent="0.3">
      <c r="A604" s="69"/>
      <c r="B604" s="8"/>
      <c r="C604" s="82" t="s">
        <v>539</v>
      </c>
      <c r="D604" s="192" t="s">
        <v>58</v>
      </c>
      <c r="E604" s="27" t="s">
        <v>35</v>
      </c>
      <c r="F604" s="76">
        <v>2</v>
      </c>
      <c r="G604" s="29">
        <v>53260</v>
      </c>
      <c r="H604" s="50">
        <v>1</v>
      </c>
      <c r="I604" s="51">
        <v>1</v>
      </c>
      <c r="J604" s="223">
        <f t="shared" si="55"/>
        <v>107000</v>
      </c>
      <c r="K604" s="39">
        <f t="shared" si="54"/>
        <v>107000</v>
      </c>
      <c r="L604" s="261">
        <f t="shared" si="49"/>
        <v>0</v>
      </c>
      <c r="M604" s="14"/>
    </row>
    <row r="605" spans="1:13" ht="61.5" customHeight="1" x14ac:dyDescent="0.3">
      <c r="A605" s="69"/>
      <c r="B605" s="8"/>
      <c r="C605" s="82" t="s">
        <v>540</v>
      </c>
      <c r="D605" s="270" t="s">
        <v>52</v>
      </c>
      <c r="E605" s="27" t="s">
        <v>23</v>
      </c>
      <c r="F605" s="72">
        <f>2*5</f>
        <v>10</v>
      </c>
      <c r="G605" s="11" t="s">
        <v>53</v>
      </c>
      <c r="H605" s="45">
        <v>0.8</v>
      </c>
      <c r="I605" s="79">
        <v>1.1479999999999999</v>
      </c>
      <c r="J605" s="223">
        <f t="shared" si="55"/>
        <v>2167000</v>
      </c>
      <c r="K605" s="39">
        <f t="shared" si="54"/>
        <v>2167000</v>
      </c>
      <c r="L605" s="261">
        <f t="shared" si="49"/>
        <v>0</v>
      </c>
      <c r="M605" s="14"/>
    </row>
    <row r="606" spans="1:13" ht="61.5" customHeight="1" x14ac:dyDescent="0.3">
      <c r="A606" s="69"/>
      <c r="B606" s="8"/>
      <c r="C606" s="82" t="s">
        <v>541</v>
      </c>
      <c r="D606" s="192" t="s">
        <v>876</v>
      </c>
      <c r="E606" s="174" t="s">
        <v>45</v>
      </c>
      <c r="F606" s="76">
        <v>10</v>
      </c>
      <c r="G606" s="29">
        <v>57000</v>
      </c>
      <c r="H606" s="45">
        <v>0.8</v>
      </c>
      <c r="I606" s="159">
        <v>1.1479999999999999</v>
      </c>
      <c r="J606" s="224">
        <f t="shared" si="55"/>
        <v>523000</v>
      </c>
      <c r="K606" s="39">
        <f t="shared" si="54"/>
        <v>523000</v>
      </c>
      <c r="L606" s="261">
        <f t="shared" si="49"/>
        <v>0</v>
      </c>
      <c r="M606" s="14"/>
    </row>
    <row r="607" spans="1:13" ht="61.5" customHeight="1" x14ac:dyDescent="0.3">
      <c r="A607" s="69"/>
      <c r="B607" s="8"/>
      <c r="C607" s="82" t="s">
        <v>111</v>
      </c>
      <c r="D607" s="271" t="s">
        <v>47</v>
      </c>
      <c r="E607" s="63" t="s">
        <v>45</v>
      </c>
      <c r="F607" s="77">
        <v>10</v>
      </c>
      <c r="G607" s="46">
        <v>28000</v>
      </c>
      <c r="H607" s="45">
        <v>0.8</v>
      </c>
      <c r="I607" s="31">
        <v>1.1479999999999999</v>
      </c>
      <c r="J607" s="223">
        <f t="shared" si="55"/>
        <v>257000</v>
      </c>
      <c r="K607" s="39">
        <f t="shared" si="54"/>
        <v>257000</v>
      </c>
      <c r="L607" s="261">
        <f t="shared" si="49"/>
        <v>0</v>
      </c>
      <c r="M607" s="14"/>
    </row>
    <row r="608" spans="1:13" ht="61.5" customHeight="1" x14ac:dyDescent="0.3">
      <c r="A608" s="69"/>
      <c r="B608" s="8"/>
      <c r="C608" s="82" t="s">
        <v>96</v>
      </c>
      <c r="D608" s="270" t="s">
        <v>97</v>
      </c>
      <c r="E608" s="71" t="s">
        <v>98</v>
      </c>
      <c r="F608" s="103">
        <v>1</v>
      </c>
      <c r="G608" s="36">
        <v>226000</v>
      </c>
      <c r="H608" s="45">
        <v>0.8</v>
      </c>
      <c r="I608" s="31">
        <v>1.1479999999999999</v>
      </c>
      <c r="J608" s="223">
        <f t="shared" si="55"/>
        <v>208000</v>
      </c>
      <c r="K608" s="39">
        <f t="shared" si="54"/>
        <v>208000</v>
      </c>
      <c r="L608" s="261">
        <f t="shared" si="49"/>
        <v>0</v>
      </c>
      <c r="M608" s="14"/>
    </row>
    <row r="609" spans="1:13" ht="61.5" customHeight="1" x14ac:dyDescent="0.3">
      <c r="A609" s="149">
        <v>34</v>
      </c>
      <c r="B609" s="150" t="s">
        <v>526</v>
      </c>
      <c r="C609" s="455" t="s">
        <v>1049</v>
      </c>
      <c r="D609" s="456"/>
      <c r="E609" s="456"/>
      <c r="F609" s="456"/>
      <c r="G609" s="456"/>
      <c r="H609" s="456"/>
      <c r="I609" s="457"/>
      <c r="J609" s="221">
        <f>SUM(J610:J613)</f>
        <v>27780000</v>
      </c>
      <c r="K609" s="39">
        <f t="shared" si="54"/>
        <v>0</v>
      </c>
      <c r="L609" s="261">
        <f t="shared" si="49"/>
        <v>27780000</v>
      </c>
      <c r="M609" s="24"/>
    </row>
    <row r="610" spans="1:13" ht="61.5" customHeight="1" x14ac:dyDescent="0.3">
      <c r="A610" s="69"/>
      <c r="B610" s="8"/>
      <c r="C610" s="470" t="s">
        <v>1050</v>
      </c>
      <c r="D610" s="471"/>
      <c r="E610" s="471"/>
      <c r="F610" s="472"/>
      <c r="G610" s="471"/>
      <c r="H610" s="471"/>
      <c r="I610" s="473"/>
      <c r="J610" s="223"/>
      <c r="K610" s="39">
        <f t="shared" si="54"/>
        <v>0</v>
      </c>
      <c r="L610" s="261">
        <f t="shared" si="49"/>
        <v>0</v>
      </c>
      <c r="M610" s="14"/>
    </row>
    <row r="611" spans="1:13" ht="61.5" customHeight="1" x14ac:dyDescent="0.3">
      <c r="A611" s="69"/>
      <c r="B611" s="8"/>
      <c r="C611" s="82" t="s">
        <v>542</v>
      </c>
      <c r="D611" s="270" t="s">
        <v>80</v>
      </c>
      <c r="E611" s="71" t="s">
        <v>23</v>
      </c>
      <c r="F611" s="72">
        <f>8.4*3.4+8.4*2.5</f>
        <v>49.56</v>
      </c>
      <c r="G611" s="29">
        <v>385000</v>
      </c>
      <c r="H611" s="45">
        <v>0.8</v>
      </c>
      <c r="I611" s="31">
        <v>1.1479999999999999</v>
      </c>
      <c r="J611" s="223">
        <f>ROUND(F611*G611*H611*I611,-3)</f>
        <v>17524000</v>
      </c>
      <c r="K611" s="39">
        <f t="shared" si="54"/>
        <v>17524000</v>
      </c>
      <c r="L611" s="261">
        <f t="shared" si="49"/>
        <v>0</v>
      </c>
      <c r="M611" s="14"/>
    </row>
    <row r="612" spans="1:13" ht="61.5" customHeight="1" x14ac:dyDescent="0.3">
      <c r="A612" s="69"/>
      <c r="B612" s="8"/>
      <c r="C612" s="82" t="s">
        <v>543</v>
      </c>
      <c r="D612" s="270" t="s">
        <v>55</v>
      </c>
      <c r="E612" s="27" t="s">
        <v>23</v>
      </c>
      <c r="F612" s="72">
        <f>4.6*2.4</f>
        <v>11.04</v>
      </c>
      <c r="G612" s="29">
        <v>905000</v>
      </c>
      <c r="H612" s="45">
        <v>0.8</v>
      </c>
      <c r="I612" s="79">
        <v>1.1479999999999999</v>
      </c>
      <c r="J612" s="223">
        <f>ROUND(F612*G612*H612*I612,-3)</f>
        <v>9176000</v>
      </c>
      <c r="K612" s="39">
        <f t="shared" si="54"/>
        <v>9176000</v>
      </c>
      <c r="L612" s="261">
        <f t="shared" si="49"/>
        <v>0</v>
      </c>
      <c r="M612" s="14"/>
    </row>
    <row r="613" spans="1:13" ht="61.5" customHeight="1" x14ac:dyDescent="0.3">
      <c r="A613" s="69"/>
      <c r="B613" s="8"/>
      <c r="C613" s="82" t="s">
        <v>544</v>
      </c>
      <c r="D613" s="271" t="s">
        <v>54</v>
      </c>
      <c r="E613" s="27" t="s">
        <v>23</v>
      </c>
      <c r="F613" s="72">
        <f>4.6*1.2</f>
        <v>5.52</v>
      </c>
      <c r="G613" s="46">
        <v>213000</v>
      </c>
      <c r="H613" s="45">
        <v>0.8</v>
      </c>
      <c r="I613" s="57">
        <v>1.1479999999999999</v>
      </c>
      <c r="J613" s="223">
        <f>ROUND(F613*G613*H613*I613,-3)</f>
        <v>1080000</v>
      </c>
      <c r="K613" s="39">
        <f t="shared" si="54"/>
        <v>1080000</v>
      </c>
      <c r="L613" s="261">
        <f t="shared" si="49"/>
        <v>0</v>
      </c>
      <c r="M613" s="158"/>
    </row>
    <row r="614" spans="1:13" ht="61.5" customHeight="1" x14ac:dyDescent="0.25">
      <c r="A614" s="149">
        <v>35</v>
      </c>
      <c r="B614" s="150" t="s">
        <v>545</v>
      </c>
      <c r="C614" s="455" t="s">
        <v>1052</v>
      </c>
      <c r="D614" s="456"/>
      <c r="E614" s="456"/>
      <c r="F614" s="456"/>
      <c r="G614" s="456"/>
      <c r="H614" s="456"/>
      <c r="I614" s="457"/>
      <c r="J614" s="221">
        <f>SUM(J615)</f>
        <v>0</v>
      </c>
      <c r="K614" s="39">
        <f t="shared" si="54"/>
        <v>0</v>
      </c>
      <c r="L614" s="261">
        <f t="shared" si="49"/>
        <v>0</v>
      </c>
      <c r="M614" s="265" t="s">
        <v>1051</v>
      </c>
    </row>
    <row r="615" spans="1:13" ht="90" customHeight="1" x14ac:dyDescent="0.3">
      <c r="A615" s="67"/>
      <c r="B615" s="68"/>
      <c r="C615" s="20" t="s">
        <v>546</v>
      </c>
      <c r="D615" s="267"/>
      <c r="E615" s="27" t="s">
        <v>23</v>
      </c>
      <c r="F615" s="35">
        <v>67.8</v>
      </c>
      <c r="G615" s="464" t="s">
        <v>1110</v>
      </c>
      <c r="H615" s="464"/>
      <c r="I615" s="465"/>
      <c r="J615" s="227"/>
      <c r="K615" s="39"/>
      <c r="L615" s="261">
        <f t="shared" si="49"/>
        <v>0</v>
      </c>
      <c r="M615" s="14"/>
    </row>
    <row r="616" spans="1:13" ht="61.5" customHeight="1" x14ac:dyDescent="0.3">
      <c r="A616" s="149">
        <v>36</v>
      </c>
      <c r="B616" s="150" t="s">
        <v>545</v>
      </c>
      <c r="C616" s="455" t="s">
        <v>1053</v>
      </c>
      <c r="D616" s="456"/>
      <c r="E616" s="456"/>
      <c r="F616" s="456"/>
      <c r="G616" s="456"/>
      <c r="H616" s="456"/>
      <c r="I616" s="457"/>
      <c r="J616" s="221">
        <f>SUM(J617:J630)</f>
        <v>640296000</v>
      </c>
      <c r="K616" s="39">
        <f t="shared" si="54"/>
        <v>0</v>
      </c>
      <c r="L616" s="261">
        <f t="shared" si="49"/>
        <v>640296000</v>
      </c>
      <c r="M616" s="24"/>
    </row>
    <row r="617" spans="1:13" ht="61.5" customHeight="1" x14ac:dyDescent="0.3">
      <c r="A617" s="69"/>
      <c r="B617" s="8"/>
      <c r="C617" s="470" t="s">
        <v>1054</v>
      </c>
      <c r="D617" s="471"/>
      <c r="E617" s="471"/>
      <c r="F617" s="472"/>
      <c r="G617" s="471"/>
      <c r="H617" s="471"/>
      <c r="I617" s="473"/>
      <c r="J617" s="223"/>
      <c r="K617" s="39">
        <f t="shared" si="54"/>
        <v>0</v>
      </c>
      <c r="L617" s="261">
        <f t="shared" si="49"/>
        <v>0</v>
      </c>
      <c r="M617" s="14"/>
    </row>
    <row r="618" spans="1:13" ht="105" customHeight="1" x14ac:dyDescent="0.3">
      <c r="A618" s="93"/>
      <c r="B618" s="94"/>
      <c r="C618" s="161" t="s">
        <v>547</v>
      </c>
      <c r="D618" s="281" t="s">
        <v>1116</v>
      </c>
      <c r="E618" s="162" t="s">
        <v>548</v>
      </c>
      <c r="F618" s="181">
        <f>10.45*11.5+10.4*10.85</f>
        <v>233.01499999999999</v>
      </c>
      <c r="G618" s="163">
        <v>4735000</v>
      </c>
      <c r="H618" s="45">
        <v>0.3</v>
      </c>
      <c r="I618" s="164">
        <v>1.1479999999999999</v>
      </c>
      <c r="J618" s="230">
        <f t="shared" ref="J618:J630" si="56">ROUND(F618*G618*H618*I618,-3)</f>
        <v>379985000</v>
      </c>
      <c r="K618" s="39">
        <f t="shared" si="54"/>
        <v>379985000</v>
      </c>
      <c r="L618" s="261">
        <f t="shared" si="49"/>
        <v>0</v>
      </c>
      <c r="M618" s="264" t="s">
        <v>549</v>
      </c>
    </row>
    <row r="619" spans="1:13" ht="61.5" customHeight="1" x14ac:dyDescent="0.3">
      <c r="A619" s="69"/>
      <c r="B619" s="8"/>
      <c r="C619" s="82" t="s">
        <v>550</v>
      </c>
      <c r="D619" s="270" t="s">
        <v>80</v>
      </c>
      <c r="E619" s="71" t="s">
        <v>23</v>
      </c>
      <c r="F619" s="72">
        <f>10.65*10.3+5*11.7</f>
        <v>168.19499999999999</v>
      </c>
      <c r="G619" s="29">
        <v>385000</v>
      </c>
      <c r="H619" s="45">
        <v>0.8</v>
      </c>
      <c r="I619" s="31">
        <v>1.1479999999999999</v>
      </c>
      <c r="J619" s="223">
        <f t="shared" si="56"/>
        <v>59471000</v>
      </c>
      <c r="K619" s="39">
        <f t="shared" si="54"/>
        <v>59471000</v>
      </c>
      <c r="L619" s="261">
        <f t="shared" si="49"/>
        <v>0</v>
      </c>
      <c r="M619" s="14"/>
    </row>
    <row r="620" spans="1:13" ht="84" customHeight="1" x14ac:dyDescent="0.3">
      <c r="A620" s="69"/>
      <c r="B620" s="8"/>
      <c r="C620" s="82" t="s">
        <v>551</v>
      </c>
      <c r="D620" s="270" t="s">
        <v>28</v>
      </c>
      <c r="E620" s="71" t="s">
        <v>23</v>
      </c>
      <c r="F620" s="72">
        <f>4*0.9+12.6*0.2+3.4*0.6+7*0.6+4.4*1.2</f>
        <v>17.64</v>
      </c>
      <c r="G620" s="11">
        <v>396000</v>
      </c>
      <c r="H620" s="45">
        <v>0.8</v>
      </c>
      <c r="I620" s="31">
        <v>1.1479999999999999</v>
      </c>
      <c r="J620" s="223">
        <f t="shared" si="56"/>
        <v>6415000</v>
      </c>
      <c r="K620" s="39">
        <f t="shared" si="54"/>
        <v>6415000</v>
      </c>
      <c r="L620" s="261">
        <f t="shared" si="49"/>
        <v>0</v>
      </c>
      <c r="M620" s="14"/>
    </row>
    <row r="621" spans="1:13" ht="61.5" customHeight="1" x14ac:dyDescent="0.3">
      <c r="A621" s="93"/>
      <c r="B621" s="94"/>
      <c r="C621" s="70" t="s">
        <v>552</v>
      </c>
      <c r="D621" s="282" t="s">
        <v>101</v>
      </c>
      <c r="E621" s="165" t="s">
        <v>23</v>
      </c>
      <c r="F621" s="95">
        <f>5*11.7</f>
        <v>58.5</v>
      </c>
      <c r="G621" s="100">
        <v>339000</v>
      </c>
      <c r="H621" s="45">
        <v>0.8</v>
      </c>
      <c r="I621" s="102">
        <v>1.1479999999999999</v>
      </c>
      <c r="J621" s="222">
        <f t="shared" si="56"/>
        <v>18213000</v>
      </c>
      <c r="K621" s="39">
        <f t="shared" si="54"/>
        <v>18213000</v>
      </c>
      <c r="L621" s="261">
        <f t="shared" si="49"/>
        <v>0</v>
      </c>
      <c r="M621" s="24"/>
    </row>
    <row r="622" spans="1:13" ht="61.5" customHeight="1" x14ac:dyDescent="0.3">
      <c r="A622" s="69"/>
      <c r="B622" s="8"/>
      <c r="C622" s="82" t="s">
        <v>553</v>
      </c>
      <c r="D622" s="271" t="s">
        <v>32</v>
      </c>
      <c r="E622" s="27" t="s">
        <v>23</v>
      </c>
      <c r="F622" s="72">
        <f>5.1*12.3</f>
        <v>62.73</v>
      </c>
      <c r="G622" s="29">
        <v>215000</v>
      </c>
      <c r="H622" s="45">
        <v>0.8</v>
      </c>
      <c r="I622" s="31">
        <v>1.1479999999999999</v>
      </c>
      <c r="J622" s="223">
        <f t="shared" si="56"/>
        <v>12386000</v>
      </c>
      <c r="K622" s="39">
        <f t="shared" si="54"/>
        <v>12386000</v>
      </c>
      <c r="L622" s="261">
        <f t="shared" si="49"/>
        <v>0</v>
      </c>
      <c r="M622" s="14"/>
    </row>
    <row r="623" spans="1:13" ht="61.5" customHeight="1" x14ac:dyDescent="0.3">
      <c r="A623" s="69"/>
      <c r="B623" s="8"/>
      <c r="C623" s="82" t="s">
        <v>554</v>
      </c>
      <c r="D623" s="271" t="s">
        <v>54</v>
      </c>
      <c r="E623" s="27" t="s">
        <v>23</v>
      </c>
      <c r="F623" s="72">
        <f>10.65*10.3</f>
        <v>109.69500000000001</v>
      </c>
      <c r="G623" s="46">
        <v>213000</v>
      </c>
      <c r="H623" s="45">
        <v>0.8</v>
      </c>
      <c r="I623" s="31">
        <v>1.1479999999999999</v>
      </c>
      <c r="J623" s="223">
        <f t="shared" si="56"/>
        <v>21458000</v>
      </c>
      <c r="K623" s="39">
        <f t="shared" si="54"/>
        <v>21458000</v>
      </c>
      <c r="L623" s="261">
        <f t="shared" si="49"/>
        <v>0</v>
      </c>
      <c r="M623" s="14"/>
    </row>
    <row r="624" spans="1:13" ht="61.5" customHeight="1" x14ac:dyDescent="0.3">
      <c r="A624" s="69"/>
      <c r="B624" s="8"/>
      <c r="C624" s="82" t="s">
        <v>555</v>
      </c>
      <c r="D624" s="270" t="s">
        <v>55</v>
      </c>
      <c r="E624" s="27" t="s">
        <v>23</v>
      </c>
      <c r="F624" s="72">
        <f>4*0.8+10.85*2+7.5*0.6</f>
        <v>29.4</v>
      </c>
      <c r="G624" s="29">
        <v>905000</v>
      </c>
      <c r="H624" s="45">
        <v>0.8</v>
      </c>
      <c r="I624" s="79">
        <v>1.1479999999999999</v>
      </c>
      <c r="J624" s="223">
        <f t="shared" si="56"/>
        <v>24436000</v>
      </c>
      <c r="K624" s="39">
        <f t="shared" si="54"/>
        <v>24436000</v>
      </c>
      <c r="L624" s="261">
        <f t="shared" si="49"/>
        <v>0</v>
      </c>
      <c r="M624" s="14"/>
    </row>
    <row r="625" spans="1:13" ht="61.5" customHeight="1" x14ac:dyDescent="0.3">
      <c r="A625" s="69"/>
      <c r="B625" s="8"/>
      <c r="C625" s="82" t="s">
        <v>556</v>
      </c>
      <c r="D625" s="270" t="s">
        <v>442</v>
      </c>
      <c r="E625" s="27" t="s">
        <v>23</v>
      </c>
      <c r="F625" s="72">
        <f>4.6*2.8</f>
        <v>12.879999999999999</v>
      </c>
      <c r="G625" s="29">
        <v>527000</v>
      </c>
      <c r="H625" s="45">
        <v>0.8</v>
      </c>
      <c r="I625" s="31">
        <v>1.1479999999999999</v>
      </c>
      <c r="J625" s="223">
        <f t="shared" si="56"/>
        <v>6234000</v>
      </c>
      <c r="K625" s="39">
        <f t="shared" si="54"/>
        <v>6234000</v>
      </c>
      <c r="L625" s="261">
        <f t="shared" si="49"/>
        <v>0</v>
      </c>
      <c r="M625" s="14"/>
    </row>
    <row r="626" spans="1:13" ht="61.5" customHeight="1" x14ac:dyDescent="0.3">
      <c r="A626" s="69"/>
      <c r="B626" s="8"/>
      <c r="C626" s="82" t="s">
        <v>557</v>
      </c>
      <c r="D626" s="270" t="s">
        <v>442</v>
      </c>
      <c r="E626" s="27" t="s">
        <v>23</v>
      </c>
      <c r="F626" s="72">
        <f>12.35*3.5+12.75*3.5+13.2*3.5+5.9*1.4+5*2.8+3.7*1.4</f>
        <v>161.48999999999998</v>
      </c>
      <c r="G626" s="29">
        <v>527000</v>
      </c>
      <c r="H626" s="45">
        <v>0.8</v>
      </c>
      <c r="I626" s="31">
        <v>1.1479999999999999</v>
      </c>
      <c r="J626" s="223">
        <f t="shared" si="56"/>
        <v>78161000</v>
      </c>
      <c r="K626" s="39">
        <f t="shared" si="54"/>
        <v>78161000</v>
      </c>
      <c r="L626" s="261">
        <f t="shared" si="49"/>
        <v>0</v>
      </c>
      <c r="M626" s="14"/>
    </row>
    <row r="627" spans="1:13" ht="45.75" customHeight="1" x14ac:dyDescent="0.3">
      <c r="A627" s="69"/>
      <c r="B627" s="8"/>
      <c r="C627" s="82" t="s">
        <v>558</v>
      </c>
      <c r="D627" s="271" t="s">
        <v>54</v>
      </c>
      <c r="E627" s="27" t="s">
        <v>23</v>
      </c>
      <c r="F627" s="72">
        <f>5.2*1</f>
        <v>5.2</v>
      </c>
      <c r="G627" s="46">
        <v>213000</v>
      </c>
      <c r="H627" s="45">
        <v>0.8</v>
      </c>
      <c r="I627" s="57">
        <v>1.1479999999999999</v>
      </c>
      <c r="J627" s="223">
        <f t="shared" si="56"/>
        <v>1017000</v>
      </c>
      <c r="K627" s="39">
        <f t="shared" si="54"/>
        <v>1017000</v>
      </c>
      <c r="L627" s="261">
        <f t="shared" ref="L627:L630" si="57">J627-K627</f>
        <v>0</v>
      </c>
      <c r="M627" s="14"/>
    </row>
    <row r="628" spans="1:13" ht="63.75" customHeight="1" x14ac:dyDescent="0.3">
      <c r="A628" s="69"/>
      <c r="B628" s="8"/>
      <c r="C628" s="82" t="s">
        <v>559</v>
      </c>
      <c r="D628" s="270" t="s">
        <v>52</v>
      </c>
      <c r="E628" s="27" t="s">
        <v>23</v>
      </c>
      <c r="F628" s="72">
        <f>10.4*2+7.5*3.1+7.5*3+5.1*0.6</f>
        <v>69.61</v>
      </c>
      <c r="G628" s="11" t="s">
        <v>53</v>
      </c>
      <c r="H628" s="45">
        <v>0.8</v>
      </c>
      <c r="I628" s="79">
        <v>1.1479999999999999</v>
      </c>
      <c r="J628" s="223">
        <f t="shared" si="56"/>
        <v>15087000</v>
      </c>
      <c r="K628" s="39">
        <f t="shared" si="54"/>
        <v>15087000</v>
      </c>
      <c r="L628" s="261">
        <f t="shared" si="57"/>
        <v>0</v>
      </c>
      <c r="M628" s="14"/>
    </row>
    <row r="629" spans="1:13" ht="75" customHeight="1" x14ac:dyDescent="0.3">
      <c r="A629" s="69"/>
      <c r="B629" s="8"/>
      <c r="C629" s="82" t="s">
        <v>560</v>
      </c>
      <c r="D629" s="271" t="s">
        <v>32</v>
      </c>
      <c r="E629" s="27" t="s">
        <v>23</v>
      </c>
      <c r="F629" s="72">
        <f>6.2*12.5</f>
        <v>77.5</v>
      </c>
      <c r="G629" s="29">
        <v>215000</v>
      </c>
      <c r="H629" s="45">
        <v>0.8</v>
      </c>
      <c r="I629" s="31">
        <v>1.1479999999999999</v>
      </c>
      <c r="J629" s="223">
        <f t="shared" si="56"/>
        <v>15303000</v>
      </c>
      <c r="K629" s="39">
        <f t="shared" si="54"/>
        <v>15303000</v>
      </c>
      <c r="L629" s="261">
        <f t="shared" si="57"/>
        <v>0</v>
      </c>
      <c r="M629" s="14"/>
    </row>
    <row r="630" spans="1:13" ht="61.5" customHeight="1" x14ac:dyDescent="0.3">
      <c r="A630" s="69"/>
      <c r="B630" s="8"/>
      <c r="C630" s="82" t="s">
        <v>561</v>
      </c>
      <c r="D630" s="192" t="s">
        <v>58</v>
      </c>
      <c r="E630" s="27" t="s">
        <v>35</v>
      </c>
      <c r="F630" s="98">
        <v>2</v>
      </c>
      <c r="G630" s="29">
        <v>1065100</v>
      </c>
      <c r="H630" s="50">
        <v>1</v>
      </c>
      <c r="I630" s="51">
        <v>1</v>
      </c>
      <c r="J630" s="223">
        <f t="shared" si="56"/>
        <v>2130000</v>
      </c>
      <c r="K630" s="39">
        <f t="shared" si="54"/>
        <v>2130000</v>
      </c>
      <c r="L630" s="261">
        <f t="shared" si="57"/>
        <v>0</v>
      </c>
      <c r="M630" s="14"/>
    </row>
    <row r="631" spans="1:13" ht="61.5" customHeight="1" x14ac:dyDescent="0.3">
      <c r="A631" s="149">
        <v>37</v>
      </c>
      <c r="B631" s="150" t="s">
        <v>1356</v>
      </c>
      <c r="C631" s="461" t="s">
        <v>1357</v>
      </c>
      <c r="D631" s="462"/>
      <c r="E631" s="462"/>
      <c r="F631" s="462"/>
      <c r="G631" s="462"/>
      <c r="H631" s="462"/>
      <c r="I631" s="463"/>
      <c r="J631" s="228">
        <f>SUM(J632:J641)</f>
        <v>515829000</v>
      </c>
      <c r="K631" s="39">
        <f t="shared" si="54"/>
        <v>0</v>
      </c>
      <c r="M631" s="24"/>
    </row>
    <row r="632" spans="1:13" ht="103.5" customHeight="1" x14ac:dyDescent="0.3">
      <c r="A632" s="67"/>
      <c r="B632" s="68"/>
      <c r="C632" s="25" t="s">
        <v>1384</v>
      </c>
      <c r="D632" s="267" t="s">
        <v>112</v>
      </c>
      <c r="E632" s="27" t="s">
        <v>23</v>
      </c>
      <c r="F632" s="35">
        <v>32.299999999999997</v>
      </c>
      <c r="G632" s="49">
        <v>11100000</v>
      </c>
      <c r="H632" s="286">
        <v>1</v>
      </c>
      <c r="I632" s="268">
        <v>1.4</v>
      </c>
      <c r="J632" s="32">
        <f>ROUND(F632*G632*H632*I632,-3)</f>
        <v>501942000</v>
      </c>
      <c r="K632" s="39">
        <f t="shared" si="54"/>
        <v>501942000</v>
      </c>
      <c r="M632" s="251">
        <v>48.9</v>
      </c>
    </row>
    <row r="633" spans="1:13" ht="75" customHeight="1" x14ac:dyDescent="0.3">
      <c r="A633" s="67"/>
      <c r="B633" s="68"/>
      <c r="C633" s="20" t="s">
        <v>546</v>
      </c>
      <c r="D633" s="267"/>
      <c r="E633" s="27" t="s">
        <v>23</v>
      </c>
      <c r="F633" s="35">
        <v>16.600000000000001</v>
      </c>
      <c r="G633" s="464" t="s">
        <v>1385</v>
      </c>
      <c r="H633" s="464"/>
      <c r="I633" s="465"/>
      <c r="J633" s="227"/>
      <c r="K633" s="39"/>
      <c r="M633" s="251"/>
    </row>
    <row r="634" spans="1:13" ht="61.5" customHeight="1" x14ac:dyDescent="0.3">
      <c r="A634" s="69"/>
      <c r="B634" s="8"/>
      <c r="C634" s="82" t="s">
        <v>37</v>
      </c>
      <c r="D634" s="278" t="s">
        <v>38</v>
      </c>
      <c r="E634" s="141" t="s">
        <v>39</v>
      </c>
      <c r="F634" s="98">
        <v>1</v>
      </c>
      <c r="G634" s="145">
        <v>1018000</v>
      </c>
      <c r="H634" s="45">
        <v>1</v>
      </c>
      <c r="I634" s="146">
        <v>1.1479999999999999</v>
      </c>
      <c r="J634" s="226">
        <f t="shared" ref="J634:J641" si="58">ROUND(F634*G634*H634*I634,-3)</f>
        <v>1169000</v>
      </c>
      <c r="K634" s="39">
        <f t="shared" si="54"/>
        <v>1169000</v>
      </c>
      <c r="M634" s="14"/>
    </row>
    <row r="635" spans="1:13" ht="61.5" customHeight="1" x14ac:dyDescent="0.3">
      <c r="A635" s="69"/>
      <c r="B635" s="8"/>
      <c r="C635" s="82" t="s">
        <v>1358</v>
      </c>
      <c r="D635" s="270" t="s">
        <v>52</v>
      </c>
      <c r="E635" s="71" t="s">
        <v>23</v>
      </c>
      <c r="F635" s="72">
        <f>9.3*3.8</f>
        <v>35.340000000000003</v>
      </c>
      <c r="G635" s="11" t="s">
        <v>53</v>
      </c>
      <c r="H635" s="45">
        <v>1</v>
      </c>
      <c r="I635" s="31">
        <v>1.1479999999999999</v>
      </c>
      <c r="J635" s="223">
        <f t="shared" si="58"/>
        <v>9575000</v>
      </c>
      <c r="K635" s="39">
        <f t="shared" si="54"/>
        <v>9575000</v>
      </c>
      <c r="M635" s="14"/>
    </row>
    <row r="636" spans="1:13" ht="61.5" customHeight="1" x14ac:dyDescent="0.3">
      <c r="A636" s="69"/>
      <c r="B636" s="8"/>
      <c r="C636" s="82" t="s">
        <v>1359</v>
      </c>
      <c r="D636" s="267" t="s">
        <v>24</v>
      </c>
      <c r="E636" s="8" t="s">
        <v>25</v>
      </c>
      <c r="F636" s="195">
        <f>1.5*2.2*0.2</f>
        <v>0.66000000000000014</v>
      </c>
      <c r="G636" s="29">
        <v>2828000</v>
      </c>
      <c r="H636" s="45">
        <v>1</v>
      </c>
      <c r="I636" s="31">
        <v>1.1479999999999999</v>
      </c>
      <c r="J636" s="223">
        <f t="shared" si="58"/>
        <v>2143000</v>
      </c>
      <c r="K636" s="39">
        <f t="shared" si="54"/>
        <v>2143000</v>
      </c>
      <c r="M636" s="14"/>
    </row>
    <row r="637" spans="1:13" ht="61.5" customHeight="1" x14ac:dyDescent="0.3">
      <c r="A637" s="69"/>
      <c r="B637" s="8"/>
      <c r="C637" s="82" t="s">
        <v>111</v>
      </c>
      <c r="D637" s="271" t="s">
        <v>47</v>
      </c>
      <c r="E637" s="63" t="s">
        <v>45</v>
      </c>
      <c r="F637" s="77">
        <v>10</v>
      </c>
      <c r="G637" s="46">
        <v>28000</v>
      </c>
      <c r="H637" s="45">
        <v>1</v>
      </c>
      <c r="I637" s="31">
        <v>1.1479999999999999</v>
      </c>
      <c r="J637" s="223">
        <f t="shared" si="58"/>
        <v>321000</v>
      </c>
      <c r="K637" s="39">
        <f t="shared" si="54"/>
        <v>321000</v>
      </c>
      <c r="M637" s="14"/>
    </row>
    <row r="638" spans="1:13" ht="61.5" customHeight="1" x14ac:dyDescent="0.3">
      <c r="A638" s="69"/>
      <c r="B638" s="8"/>
      <c r="C638" s="82" t="s">
        <v>1360</v>
      </c>
      <c r="D638" s="273" t="s">
        <v>44</v>
      </c>
      <c r="E638" s="63" t="s">
        <v>45</v>
      </c>
      <c r="F638" s="72">
        <v>10</v>
      </c>
      <c r="G638" s="46">
        <v>28000</v>
      </c>
      <c r="H638" s="45">
        <v>1</v>
      </c>
      <c r="I638" s="31">
        <v>1.1479999999999999</v>
      </c>
      <c r="J638" s="223">
        <f t="shared" si="58"/>
        <v>321000</v>
      </c>
      <c r="K638" s="39">
        <f t="shared" si="54"/>
        <v>321000</v>
      </c>
      <c r="M638" s="14"/>
    </row>
    <row r="639" spans="1:13" ht="61.5" customHeight="1" x14ac:dyDescent="0.3">
      <c r="A639" s="69"/>
      <c r="B639" s="8"/>
      <c r="C639" s="82" t="s">
        <v>1361</v>
      </c>
      <c r="D639" s="277" t="s">
        <v>878</v>
      </c>
      <c r="E639" s="27" t="s">
        <v>35</v>
      </c>
      <c r="F639" s="76">
        <v>1</v>
      </c>
      <c r="G639" s="29">
        <v>40910</v>
      </c>
      <c r="H639" s="50">
        <v>1</v>
      </c>
      <c r="I639" s="51">
        <v>1</v>
      </c>
      <c r="J639" s="224">
        <f t="shared" si="58"/>
        <v>41000</v>
      </c>
      <c r="K639" s="39">
        <f t="shared" si="54"/>
        <v>41000</v>
      </c>
      <c r="M639" s="14"/>
    </row>
    <row r="640" spans="1:13" ht="61.5" customHeight="1" x14ac:dyDescent="0.3">
      <c r="A640" s="69"/>
      <c r="B640" s="8"/>
      <c r="C640" s="82" t="s">
        <v>1362</v>
      </c>
      <c r="D640" s="283" t="s">
        <v>105</v>
      </c>
      <c r="E640" s="27" t="s">
        <v>35</v>
      </c>
      <c r="F640" s="98">
        <v>1</v>
      </c>
      <c r="G640" s="115">
        <v>300360</v>
      </c>
      <c r="H640" s="50">
        <v>1</v>
      </c>
      <c r="I640" s="51">
        <v>1</v>
      </c>
      <c r="J640" s="223">
        <f t="shared" si="58"/>
        <v>300000</v>
      </c>
      <c r="K640" s="39">
        <f t="shared" si="54"/>
        <v>300000</v>
      </c>
      <c r="M640" s="14"/>
    </row>
    <row r="641" spans="1:13" ht="61.5" customHeight="1" x14ac:dyDescent="0.3">
      <c r="A641" s="69"/>
      <c r="B641" s="8"/>
      <c r="C641" s="82" t="s">
        <v>141</v>
      </c>
      <c r="D641" s="280" t="s">
        <v>92</v>
      </c>
      <c r="E641" s="27" t="s">
        <v>35</v>
      </c>
      <c r="F641" s="98">
        <v>1</v>
      </c>
      <c r="G641" s="11">
        <v>16590</v>
      </c>
      <c r="H641" s="50">
        <v>1</v>
      </c>
      <c r="I641" s="51">
        <v>1</v>
      </c>
      <c r="J641" s="223">
        <f t="shared" si="58"/>
        <v>17000</v>
      </c>
      <c r="K641" s="39">
        <f t="shared" si="54"/>
        <v>17000</v>
      </c>
      <c r="M641" s="14"/>
    </row>
    <row r="642" spans="1:13" ht="61.5" customHeight="1" x14ac:dyDescent="0.3">
      <c r="A642" s="149">
        <v>38</v>
      </c>
      <c r="B642" s="150" t="s">
        <v>1363</v>
      </c>
      <c r="C642" s="455" t="s">
        <v>1364</v>
      </c>
      <c r="D642" s="456"/>
      <c r="E642" s="456"/>
      <c r="F642" s="456"/>
      <c r="G642" s="456"/>
      <c r="H642" s="456"/>
      <c r="I642" s="457"/>
      <c r="J642" s="221">
        <f>SUM(J643:J656)</f>
        <v>1204831000</v>
      </c>
      <c r="K642" s="39">
        <f t="shared" si="54"/>
        <v>0</v>
      </c>
      <c r="M642" s="24"/>
    </row>
    <row r="643" spans="1:13" ht="103.5" customHeight="1" x14ac:dyDescent="0.3">
      <c r="A643" s="67"/>
      <c r="B643" s="68"/>
      <c r="C643" s="25" t="s">
        <v>1384</v>
      </c>
      <c r="D643" s="267" t="s">
        <v>112</v>
      </c>
      <c r="E643" s="27" t="s">
        <v>23</v>
      </c>
      <c r="F643" s="35">
        <f>81.9-13.5</f>
        <v>68.400000000000006</v>
      </c>
      <c r="G643" s="49">
        <v>11100000</v>
      </c>
      <c r="H643" s="286">
        <v>1</v>
      </c>
      <c r="I643" s="268">
        <v>1.4</v>
      </c>
      <c r="J643" s="32">
        <f>ROUND(F643*G643*H643*I643,-3)</f>
        <v>1062936000</v>
      </c>
      <c r="K643" s="39">
        <f t="shared" si="54"/>
        <v>1062936000</v>
      </c>
      <c r="M643" s="251">
        <v>48.9</v>
      </c>
    </row>
    <row r="644" spans="1:13" ht="75" customHeight="1" x14ac:dyDescent="0.3">
      <c r="A644" s="67"/>
      <c r="B644" s="68"/>
      <c r="C644" s="20" t="s">
        <v>546</v>
      </c>
      <c r="D644" s="267"/>
      <c r="E644" s="27" t="s">
        <v>23</v>
      </c>
      <c r="F644" s="35">
        <v>13.5</v>
      </c>
      <c r="G644" s="464" t="s">
        <v>1110</v>
      </c>
      <c r="H644" s="464"/>
      <c r="I644" s="465"/>
      <c r="J644" s="227"/>
      <c r="K644" s="39"/>
      <c r="M644" s="251"/>
    </row>
    <row r="645" spans="1:13" ht="72" customHeight="1" x14ac:dyDescent="0.3">
      <c r="A645" s="69"/>
      <c r="B645" s="8"/>
      <c r="C645" s="82" t="s">
        <v>1365</v>
      </c>
      <c r="D645" s="274" t="s">
        <v>473</v>
      </c>
      <c r="E645" s="27" t="s">
        <v>23</v>
      </c>
      <c r="F645" s="75">
        <f>6.1*4.75</f>
        <v>28.974999999999998</v>
      </c>
      <c r="G645" s="29">
        <v>2749000</v>
      </c>
      <c r="H645" s="45">
        <v>1</v>
      </c>
      <c r="I645" s="102">
        <v>1.1479999999999999</v>
      </c>
      <c r="J645" s="229">
        <f t="shared" ref="J645:J656" si="59">ROUND(F645*G645*H645*I645,-3)</f>
        <v>91441000</v>
      </c>
      <c r="K645" s="39">
        <f t="shared" si="54"/>
        <v>91441000</v>
      </c>
      <c r="M645" s="14"/>
    </row>
    <row r="646" spans="1:13" ht="61.5" customHeight="1" x14ac:dyDescent="0.3">
      <c r="A646" s="69"/>
      <c r="B646" s="8"/>
      <c r="C646" s="82" t="s">
        <v>1366</v>
      </c>
      <c r="D646" s="270" t="s">
        <v>80</v>
      </c>
      <c r="E646" s="71" t="s">
        <v>23</v>
      </c>
      <c r="F646" s="72">
        <f>8*4.55</f>
        <v>36.4</v>
      </c>
      <c r="G646" s="29">
        <v>385000</v>
      </c>
      <c r="H646" s="45">
        <v>1</v>
      </c>
      <c r="I646" s="31">
        <v>1.1479999999999999</v>
      </c>
      <c r="J646" s="223">
        <f t="shared" si="59"/>
        <v>16088000</v>
      </c>
      <c r="K646" s="39">
        <f t="shared" si="54"/>
        <v>16088000</v>
      </c>
      <c r="M646" s="14"/>
    </row>
    <row r="647" spans="1:13" ht="61.5" customHeight="1" x14ac:dyDescent="0.3">
      <c r="A647" s="69"/>
      <c r="B647" s="8"/>
      <c r="C647" s="82" t="s">
        <v>1367</v>
      </c>
      <c r="D647" s="270" t="s">
        <v>562</v>
      </c>
      <c r="E647" s="27" t="s">
        <v>23</v>
      </c>
      <c r="F647" s="72">
        <f>2.2*4.75+8.3*1.5</f>
        <v>22.900000000000002</v>
      </c>
      <c r="G647" s="29">
        <v>577000</v>
      </c>
      <c r="H647" s="45">
        <v>1</v>
      </c>
      <c r="I647" s="31">
        <v>1.1479999999999999</v>
      </c>
      <c r="J647" s="223">
        <f t="shared" si="59"/>
        <v>15169000</v>
      </c>
      <c r="K647" s="39">
        <f t="shared" ref="K647:K710" si="60">ROUND(F647*G647*H647*I647,-3)</f>
        <v>15169000</v>
      </c>
      <c r="M647" s="14"/>
    </row>
    <row r="648" spans="1:13" ht="61.5" customHeight="1" x14ac:dyDescent="0.3">
      <c r="A648" s="69"/>
      <c r="B648" s="8"/>
      <c r="C648" s="82" t="s">
        <v>1368</v>
      </c>
      <c r="D648" s="271" t="s">
        <v>54</v>
      </c>
      <c r="E648" s="27" t="s">
        <v>23</v>
      </c>
      <c r="F648" s="72">
        <f>1.2*6.25</f>
        <v>7.5</v>
      </c>
      <c r="G648" s="46">
        <v>213000</v>
      </c>
      <c r="H648" s="45">
        <v>1</v>
      </c>
      <c r="I648" s="57">
        <v>1.1479999999999999</v>
      </c>
      <c r="J648" s="223">
        <f t="shared" si="59"/>
        <v>1834000</v>
      </c>
      <c r="K648" s="39">
        <f t="shared" si="60"/>
        <v>1834000</v>
      </c>
      <c r="M648" s="14"/>
    </row>
    <row r="649" spans="1:13" ht="61.5" customHeight="1" x14ac:dyDescent="0.3">
      <c r="A649" s="69"/>
      <c r="B649" s="8"/>
      <c r="C649" s="82" t="s">
        <v>1369</v>
      </c>
      <c r="D649" s="270" t="s">
        <v>52</v>
      </c>
      <c r="E649" s="27" t="s">
        <v>23</v>
      </c>
      <c r="F649" s="72">
        <f>6.25*1.5</f>
        <v>9.375</v>
      </c>
      <c r="G649" s="11" t="s">
        <v>53</v>
      </c>
      <c r="H649" s="45">
        <v>1</v>
      </c>
      <c r="I649" s="79">
        <v>1.1479999999999999</v>
      </c>
      <c r="J649" s="223">
        <f t="shared" si="59"/>
        <v>2540000</v>
      </c>
      <c r="K649" s="39">
        <f t="shared" si="60"/>
        <v>2540000</v>
      </c>
      <c r="M649" s="14"/>
    </row>
    <row r="650" spans="1:13" ht="61.5" customHeight="1" x14ac:dyDescent="0.3">
      <c r="A650" s="69"/>
      <c r="B650" s="8"/>
      <c r="C650" s="82" t="s">
        <v>1370</v>
      </c>
      <c r="D650" s="271" t="s">
        <v>32</v>
      </c>
      <c r="E650" s="27" t="s">
        <v>23</v>
      </c>
      <c r="F650" s="72">
        <f>8.6*1.5</f>
        <v>12.899999999999999</v>
      </c>
      <c r="G650" s="29">
        <v>215000</v>
      </c>
      <c r="H650" s="45">
        <v>0.8</v>
      </c>
      <c r="I650" s="31">
        <v>1.1479999999999999</v>
      </c>
      <c r="J650" s="223">
        <f t="shared" si="59"/>
        <v>2547000</v>
      </c>
      <c r="K650" s="39">
        <f t="shared" si="60"/>
        <v>2547000</v>
      </c>
      <c r="M650" s="14"/>
    </row>
    <row r="651" spans="1:13" ht="61.5" customHeight="1" x14ac:dyDescent="0.3">
      <c r="A651" s="69"/>
      <c r="B651" s="8"/>
      <c r="C651" s="82" t="s">
        <v>1371</v>
      </c>
      <c r="D651" s="267" t="s">
        <v>26</v>
      </c>
      <c r="E651" s="27" t="s">
        <v>23</v>
      </c>
      <c r="F651" s="89">
        <f>1.5*1.7</f>
        <v>2.5499999999999998</v>
      </c>
      <c r="G651" s="29">
        <v>679000</v>
      </c>
      <c r="H651" s="45">
        <v>1</v>
      </c>
      <c r="I651" s="31">
        <v>1.1479999999999999</v>
      </c>
      <c r="J651" s="223">
        <f t="shared" si="59"/>
        <v>1988000</v>
      </c>
      <c r="K651" s="39">
        <f t="shared" si="60"/>
        <v>1988000</v>
      </c>
      <c r="M651" s="14"/>
    </row>
    <row r="652" spans="1:13" ht="61.5" customHeight="1" x14ac:dyDescent="0.3">
      <c r="A652" s="69"/>
      <c r="B652" s="8"/>
      <c r="C652" s="82" t="s">
        <v>1372</v>
      </c>
      <c r="D652" s="267" t="s">
        <v>24</v>
      </c>
      <c r="E652" s="27" t="s">
        <v>25</v>
      </c>
      <c r="F652" s="72">
        <f>0.22*0.22*1.9</f>
        <v>9.1959999999999986E-2</v>
      </c>
      <c r="G652" s="29">
        <v>2828000</v>
      </c>
      <c r="H652" s="45">
        <v>1</v>
      </c>
      <c r="I652" s="31">
        <v>1.1479999999999999</v>
      </c>
      <c r="J652" s="223">
        <f t="shared" si="59"/>
        <v>299000</v>
      </c>
      <c r="K652" s="39">
        <f t="shared" si="60"/>
        <v>299000</v>
      </c>
      <c r="M652" s="14"/>
    </row>
    <row r="653" spans="1:13" ht="61.5" customHeight="1" x14ac:dyDescent="0.3">
      <c r="A653" s="69"/>
      <c r="B653" s="8"/>
      <c r="C653" s="82" t="s">
        <v>1373</v>
      </c>
      <c r="D653" s="267" t="s">
        <v>24</v>
      </c>
      <c r="E653" s="8" t="s">
        <v>25</v>
      </c>
      <c r="F653" s="72">
        <f>0.85*1.7*0.15</f>
        <v>0.21674999999999997</v>
      </c>
      <c r="G653" s="29">
        <v>2828000</v>
      </c>
      <c r="H653" s="45">
        <v>1</v>
      </c>
      <c r="I653" s="31">
        <v>1.1479999999999999</v>
      </c>
      <c r="J653" s="223">
        <f t="shared" si="59"/>
        <v>704000</v>
      </c>
      <c r="K653" s="39">
        <f t="shared" si="60"/>
        <v>704000</v>
      </c>
      <c r="M653" s="14"/>
    </row>
    <row r="654" spans="1:13" ht="61.5" customHeight="1" x14ac:dyDescent="0.3">
      <c r="A654" s="69"/>
      <c r="B654" s="8"/>
      <c r="C654" s="82" t="s">
        <v>1374</v>
      </c>
      <c r="D654" s="270" t="s">
        <v>52</v>
      </c>
      <c r="E654" s="27" t="s">
        <v>23</v>
      </c>
      <c r="F654" s="72">
        <f>(2.2*2.5)*2</f>
        <v>11</v>
      </c>
      <c r="G654" s="11" t="s">
        <v>53</v>
      </c>
      <c r="H654" s="45">
        <v>1</v>
      </c>
      <c r="I654" s="79">
        <v>1.1479999999999999</v>
      </c>
      <c r="J654" s="223">
        <f t="shared" si="59"/>
        <v>2980000</v>
      </c>
      <c r="K654" s="39">
        <f t="shared" si="60"/>
        <v>2980000</v>
      </c>
      <c r="M654" s="14"/>
    </row>
    <row r="655" spans="1:13" ht="61.5" customHeight="1" x14ac:dyDescent="0.3">
      <c r="A655" s="69"/>
      <c r="B655" s="8"/>
      <c r="C655" s="82" t="s">
        <v>1375</v>
      </c>
      <c r="D655" s="270" t="s">
        <v>29</v>
      </c>
      <c r="E655" s="27" t="s">
        <v>23</v>
      </c>
      <c r="F655" s="72">
        <f>4.4*1.4</f>
        <v>6.16</v>
      </c>
      <c r="G655" s="29">
        <v>792000</v>
      </c>
      <c r="H655" s="45">
        <v>1</v>
      </c>
      <c r="I655" s="31">
        <v>1.1479999999999999</v>
      </c>
      <c r="J655" s="223">
        <f t="shared" si="59"/>
        <v>5601000</v>
      </c>
      <c r="K655" s="39">
        <f t="shared" si="60"/>
        <v>5601000</v>
      </c>
      <c r="M655" s="14"/>
    </row>
    <row r="656" spans="1:13" ht="61.5" customHeight="1" x14ac:dyDescent="0.3">
      <c r="A656" s="69"/>
      <c r="B656" s="8"/>
      <c r="C656" s="82" t="s">
        <v>1376</v>
      </c>
      <c r="D656" s="270" t="s">
        <v>52</v>
      </c>
      <c r="E656" s="96" t="s">
        <v>91</v>
      </c>
      <c r="F656" s="72">
        <f>6.5*0.4</f>
        <v>2.6</v>
      </c>
      <c r="G656" s="11" t="s">
        <v>53</v>
      </c>
      <c r="H656" s="45">
        <v>1</v>
      </c>
      <c r="I656" s="31">
        <v>1.1479999999999999</v>
      </c>
      <c r="J656" s="223">
        <f t="shared" si="59"/>
        <v>704000</v>
      </c>
      <c r="K656" s="39">
        <f t="shared" si="60"/>
        <v>704000</v>
      </c>
      <c r="M656" s="14"/>
    </row>
    <row r="657" spans="1:13" ht="61.5" customHeight="1" x14ac:dyDescent="0.3">
      <c r="A657" s="149">
        <v>39</v>
      </c>
      <c r="B657" s="150" t="s">
        <v>1356</v>
      </c>
      <c r="C657" s="455" t="s">
        <v>1377</v>
      </c>
      <c r="D657" s="456"/>
      <c r="E657" s="456"/>
      <c r="F657" s="456"/>
      <c r="G657" s="456"/>
      <c r="H657" s="456"/>
      <c r="I657" s="457"/>
      <c r="J657" s="221">
        <f>SUM(J658:J663)</f>
        <v>37815000</v>
      </c>
      <c r="K657" s="39">
        <f t="shared" si="60"/>
        <v>0</v>
      </c>
      <c r="M657" s="24"/>
    </row>
    <row r="658" spans="1:13" ht="45" customHeight="1" x14ac:dyDescent="0.3">
      <c r="A658" s="69"/>
      <c r="B658" s="8"/>
      <c r="C658" s="470" t="s">
        <v>1378</v>
      </c>
      <c r="D658" s="471"/>
      <c r="E658" s="471"/>
      <c r="F658" s="472"/>
      <c r="G658" s="471"/>
      <c r="H658" s="471"/>
      <c r="I658" s="473"/>
      <c r="J658" s="223"/>
      <c r="K658" s="39">
        <f t="shared" si="60"/>
        <v>0</v>
      </c>
      <c r="M658" s="14"/>
    </row>
    <row r="659" spans="1:13" ht="61.5" customHeight="1" x14ac:dyDescent="0.3">
      <c r="A659" s="69"/>
      <c r="B659" s="8"/>
      <c r="C659" s="82" t="s">
        <v>1379</v>
      </c>
      <c r="D659" s="270" t="s">
        <v>55</v>
      </c>
      <c r="E659" s="27" t="s">
        <v>23</v>
      </c>
      <c r="F659" s="72">
        <f>4.9*4</f>
        <v>19.600000000000001</v>
      </c>
      <c r="G659" s="29">
        <v>905000</v>
      </c>
      <c r="H659" s="45">
        <v>1</v>
      </c>
      <c r="I659" s="79">
        <v>1.1479999999999999</v>
      </c>
      <c r="J659" s="223">
        <f>ROUND(F659*G659*H659*I659,-3)</f>
        <v>20363000</v>
      </c>
      <c r="K659" s="39">
        <f t="shared" si="60"/>
        <v>20363000</v>
      </c>
      <c r="M659" s="14"/>
    </row>
    <row r="660" spans="1:13" ht="61.5" customHeight="1" x14ac:dyDescent="0.3">
      <c r="A660" s="69"/>
      <c r="B660" s="8"/>
      <c r="C660" s="82" t="s">
        <v>1380</v>
      </c>
      <c r="D660" s="271" t="s">
        <v>54</v>
      </c>
      <c r="E660" s="27" t="s">
        <v>23</v>
      </c>
      <c r="F660" s="72">
        <f>3.1*2.3+(3.5*3.2)*2</f>
        <v>29.53</v>
      </c>
      <c r="G660" s="46">
        <v>213000</v>
      </c>
      <c r="H660" s="45">
        <v>1</v>
      </c>
      <c r="I660" s="31">
        <v>1.1479999999999999</v>
      </c>
      <c r="J660" s="223">
        <f>ROUND(F660*G660*H660*I660,-3)</f>
        <v>7221000</v>
      </c>
      <c r="K660" s="39">
        <f t="shared" si="60"/>
        <v>7221000</v>
      </c>
      <c r="M660" s="14"/>
    </row>
    <row r="661" spans="1:13" ht="61.5" customHeight="1" x14ac:dyDescent="0.3">
      <c r="A661" s="69"/>
      <c r="B661" s="8"/>
      <c r="C661" s="82" t="s">
        <v>1381</v>
      </c>
      <c r="D661" s="271" t="s">
        <v>54</v>
      </c>
      <c r="E661" s="27" t="s">
        <v>23</v>
      </c>
      <c r="F661" s="72">
        <f>4.9*1+3*0.3+(1*3.5)*2</f>
        <v>12.8</v>
      </c>
      <c r="G661" s="46">
        <v>213000</v>
      </c>
      <c r="H661" s="45">
        <v>1</v>
      </c>
      <c r="I661" s="31">
        <v>1.1479999999999999</v>
      </c>
      <c r="J661" s="223">
        <f>ROUND(F661*G661*H661*I661,-3)</f>
        <v>3130000</v>
      </c>
      <c r="K661" s="39">
        <f t="shared" si="60"/>
        <v>3130000</v>
      </c>
      <c r="M661" s="14"/>
    </row>
    <row r="662" spans="1:13" ht="61.5" customHeight="1" x14ac:dyDescent="0.3">
      <c r="A662" s="69"/>
      <c r="B662" s="8"/>
      <c r="C662" s="82" t="s">
        <v>1382</v>
      </c>
      <c r="D662" s="271" t="s">
        <v>54</v>
      </c>
      <c r="E662" s="27" t="s">
        <v>23</v>
      </c>
      <c r="F662" s="72">
        <f>3*3.3</f>
        <v>9.8999999999999986</v>
      </c>
      <c r="G662" s="46">
        <v>213000</v>
      </c>
      <c r="H662" s="45">
        <v>1</v>
      </c>
      <c r="I662" s="31">
        <v>1.1479999999999999</v>
      </c>
      <c r="J662" s="223">
        <f>ROUND(F662*G662*H662*I662,-3)</f>
        <v>2421000</v>
      </c>
      <c r="K662" s="39">
        <f t="shared" si="60"/>
        <v>2421000</v>
      </c>
      <c r="M662" s="14"/>
    </row>
    <row r="663" spans="1:13" ht="61.5" customHeight="1" x14ac:dyDescent="0.3">
      <c r="A663" s="69"/>
      <c r="B663" s="8"/>
      <c r="C663" s="82" t="s">
        <v>1383</v>
      </c>
      <c r="D663" s="272" t="s">
        <v>33</v>
      </c>
      <c r="E663" s="27" t="s">
        <v>23</v>
      </c>
      <c r="F663" s="72">
        <f>4.5*2</f>
        <v>9</v>
      </c>
      <c r="G663" s="29">
        <v>453000</v>
      </c>
      <c r="H663" s="45">
        <v>1</v>
      </c>
      <c r="I663" s="31">
        <v>1.1479999999999999</v>
      </c>
      <c r="J663" s="223">
        <f>ROUND(F663*G663*H663*I663,-3)</f>
        <v>4680000</v>
      </c>
      <c r="K663" s="39">
        <f t="shared" si="60"/>
        <v>4680000</v>
      </c>
      <c r="M663" s="14"/>
    </row>
    <row r="664" spans="1:13" ht="61.5" customHeight="1" x14ac:dyDescent="0.3">
      <c r="A664" s="149">
        <v>40</v>
      </c>
      <c r="B664" s="150" t="s">
        <v>1386</v>
      </c>
      <c r="C664" s="455" t="s">
        <v>1387</v>
      </c>
      <c r="D664" s="456"/>
      <c r="E664" s="456"/>
      <c r="F664" s="456"/>
      <c r="G664" s="456"/>
      <c r="H664" s="456"/>
      <c r="I664" s="457"/>
      <c r="J664" s="221">
        <f>SUM(J665:J666)</f>
        <v>411810000</v>
      </c>
      <c r="K664" s="39">
        <f t="shared" si="60"/>
        <v>0</v>
      </c>
      <c r="M664" s="24"/>
    </row>
    <row r="665" spans="1:13" ht="103.5" customHeight="1" x14ac:dyDescent="0.3">
      <c r="A665" s="67"/>
      <c r="B665" s="68"/>
      <c r="C665" s="25" t="s">
        <v>1384</v>
      </c>
      <c r="D665" s="267" t="s">
        <v>112</v>
      </c>
      <c r="E665" s="27" t="s">
        <v>23</v>
      </c>
      <c r="F665" s="35">
        <v>26.5</v>
      </c>
      <c r="G665" s="49">
        <v>11100000</v>
      </c>
      <c r="H665" s="286">
        <v>1</v>
      </c>
      <c r="I665" s="268">
        <v>1.4</v>
      </c>
      <c r="J665" s="32">
        <f>ROUND(F665*G665*H665*I665,-3)</f>
        <v>411810000</v>
      </c>
      <c r="K665" s="39">
        <f t="shared" si="60"/>
        <v>411810000</v>
      </c>
      <c r="M665" s="251">
        <v>48.9</v>
      </c>
    </row>
    <row r="666" spans="1:13" ht="75" customHeight="1" x14ac:dyDescent="0.3">
      <c r="A666" s="67"/>
      <c r="B666" s="68"/>
      <c r="C666" s="20" t="s">
        <v>546</v>
      </c>
      <c r="D666" s="267"/>
      <c r="E666" s="27" t="s">
        <v>23</v>
      </c>
      <c r="F666" s="35">
        <v>18.399999999999999</v>
      </c>
      <c r="G666" s="464" t="s">
        <v>1385</v>
      </c>
      <c r="H666" s="464"/>
      <c r="I666" s="465"/>
      <c r="J666" s="227"/>
      <c r="K666" s="39"/>
      <c r="M666" s="251"/>
    </row>
    <row r="667" spans="1:13" ht="61.5" customHeight="1" x14ac:dyDescent="0.3">
      <c r="A667" s="149">
        <v>41</v>
      </c>
      <c r="B667" s="150" t="s">
        <v>563</v>
      </c>
      <c r="C667" s="455" t="s">
        <v>564</v>
      </c>
      <c r="D667" s="456"/>
      <c r="E667" s="456"/>
      <c r="F667" s="456"/>
      <c r="G667" s="456"/>
      <c r="H667" s="456"/>
      <c r="I667" s="457"/>
      <c r="J667" s="221">
        <f>SUM(J668:J677)</f>
        <v>208901000</v>
      </c>
      <c r="K667" s="39">
        <f t="shared" si="60"/>
        <v>0</v>
      </c>
      <c r="L667" s="261">
        <f t="shared" ref="L667:L730" si="61">J667-K667</f>
        <v>208901000</v>
      </c>
      <c r="M667" s="24"/>
    </row>
    <row r="668" spans="1:13" ht="90" customHeight="1" x14ac:dyDescent="0.3">
      <c r="A668" s="67"/>
      <c r="B668" s="68"/>
      <c r="C668" s="20" t="s">
        <v>565</v>
      </c>
      <c r="D668" s="267"/>
      <c r="E668" s="27" t="s">
        <v>23</v>
      </c>
      <c r="F668" s="35">
        <v>47.4</v>
      </c>
      <c r="G668" s="464" t="s">
        <v>1110</v>
      </c>
      <c r="H668" s="464"/>
      <c r="I668" s="465"/>
      <c r="J668" s="227"/>
      <c r="K668" s="39"/>
      <c r="L668" s="261">
        <f t="shared" si="61"/>
        <v>0</v>
      </c>
      <c r="M668" s="14"/>
    </row>
    <row r="669" spans="1:13" ht="72" customHeight="1" x14ac:dyDescent="0.3">
      <c r="A669" s="69"/>
      <c r="B669" s="8"/>
      <c r="C669" s="82" t="s">
        <v>566</v>
      </c>
      <c r="D669" s="274" t="s">
        <v>63</v>
      </c>
      <c r="E669" s="27" t="s">
        <v>23</v>
      </c>
      <c r="F669" s="89">
        <f>9.2*6</f>
        <v>55.199999999999996</v>
      </c>
      <c r="G669" s="29">
        <v>2975000</v>
      </c>
      <c r="H669" s="45">
        <v>0.8</v>
      </c>
      <c r="I669" s="102">
        <v>1.1479999999999999</v>
      </c>
      <c r="J669" s="229">
        <f t="shared" ref="J669:J677" si="62">ROUND(F669*G669*H669*I669,-3)</f>
        <v>150820000</v>
      </c>
      <c r="K669" s="39">
        <f t="shared" si="60"/>
        <v>150820000</v>
      </c>
      <c r="L669" s="261">
        <f t="shared" si="61"/>
        <v>0</v>
      </c>
      <c r="M669" s="14"/>
    </row>
    <row r="670" spans="1:13" ht="61.5" customHeight="1" x14ac:dyDescent="0.3">
      <c r="A670" s="69"/>
      <c r="B670" s="8"/>
      <c r="C670" s="82" t="s">
        <v>567</v>
      </c>
      <c r="D670" s="267" t="s">
        <v>26</v>
      </c>
      <c r="E670" s="27" t="s">
        <v>23</v>
      </c>
      <c r="F670" s="89">
        <f>4.5*4.3</f>
        <v>19.349999999999998</v>
      </c>
      <c r="G670" s="29">
        <v>679000</v>
      </c>
      <c r="H670" s="45">
        <v>0.8</v>
      </c>
      <c r="I670" s="31">
        <v>1.1479999999999999</v>
      </c>
      <c r="J670" s="223">
        <f t="shared" si="62"/>
        <v>12067000</v>
      </c>
      <c r="K670" s="39">
        <f t="shared" si="60"/>
        <v>12067000</v>
      </c>
      <c r="L670" s="261">
        <f t="shared" si="61"/>
        <v>0</v>
      </c>
      <c r="M670" s="14"/>
    </row>
    <row r="671" spans="1:13" ht="61.5" customHeight="1" x14ac:dyDescent="0.3">
      <c r="A671" s="69"/>
      <c r="B671" s="8"/>
      <c r="C671" s="82" t="s">
        <v>568</v>
      </c>
      <c r="D671" s="270" t="s">
        <v>52</v>
      </c>
      <c r="E671" s="71" t="s">
        <v>23</v>
      </c>
      <c r="F671" s="72">
        <f>9.2*5.8</f>
        <v>53.359999999999992</v>
      </c>
      <c r="G671" s="11" t="s">
        <v>53</v>
      </c>
      <c r="H671" s="45">
        <v>0.8</v>
      </c>
      <c r="I671" s="31">
        <v>1.1479999999999999</v>
      </c>
      <c r="J671" s="223">
        <f t="shared" si="62"/>
        <v>11565000</v>
      </c>
      <c r="K671" s="39">
        <f t="shared" si="60"/>
        <v>11565000</v>
      </c>
      <c r="L671" s="261">
        <f t="shared" si="61"/>
        <v>0</v>
      </c>
      <c r="M671" s="14"/>
    </row>
    <row r="672" spans="1:13" ht="61.5" customHeight="1" x14ac:dyDescent="0.3">
      <c r="A672" s="69"/>
      <c r="B672" s="8"/>
      <c r="C672" s="82" t="s">
        <v>569</v>
      </c>
      <c r="D672" s="271" t="s">
        <v>54</v>
      </c>
      <c r="E672" s="71" t="s">
        <v>23</v>
      </c>
      <c r="F672" s="72">
        <f>7.9*3</f>
        <v>23.700000000000003</v>
      </c>
      <c r="G672" s="46">
        <v>213000</v>
      </c>
      <c r="H672" s="45">
        <v>0.8</v>
      </c>
      <c r="I672" s="31">
        <v>1.1479999999999999</v>
      </c>
      <c r="J672" s="223">
        <f t="shared" si="62"/>
        <v>4636000</v>
      </c>
      <c r="K672" s="39">
        <f t="shared" si="60"/>
        <v>4636000</v>
      </c>
      <c r="L672" s="261">
        <f t="shared" si="61"/>
        <v>0</v>
      </c>
      <c r="M672" s="14"/>
    </row>
    <row r="673" spans="1:13" ht="61.5" customHeight="1" x14ac:dyDescent="0.3">
      <c r="A673" s="69"/>
      <c r="B673" s="8"/>
      <c r="C673" s="82" t="s">
        <v>570</v>
      </c>
      <c r="D673" s="270" t="s">
        <v>101</v>
      </c>
      <c r="E673" s="71" t="s">
        <v>23</v>
      </c>
      <c r="F673" s="72">
        <f>4.5*2</f>
        <v>9</v>
      </c>
      <c r="G673" s="29">
        <v>339000</v>
      </c>
      <c r="H673" s="45">
        <v>0.8</v>
      </c>
      <c r="I673" s="31">
        <v>1.1479999999999999</v>
      </c>
      <c r="J673" s="223">
        <f t="shared" si="62"/>
        <v>2802000</v>
      </c>
      <c r="K673" s="39">
        <f t="shared" si="60"/>
        <v>2802000</v>
      </c>
      <c r="L673" s="261">
        <f t="shared" si="61"/>
        <v>0</v>
      </c>
      <c r="M673" s="14"/>
    </row>
    <row r="674" spans="1:13" ht="61.5" customHeight="1" x14ac:dyDescent="0.3">
      <c r="A674" s="69"/>
      <c r="B674" s="8"/>
      <c r="C674" s="82" t="s">
        <v>571</v>
      </c>
      <c r="D674" s="271" t="s">
        <v>54</v>
      </c>
      <c r="E674" s="27" t="s">
        <v>23</v>
      </c>
      <c r="F674" s="72">
        <f>4.1*1.8</f>
        <v>7.38</v>
      </c>
      <c r="G674" s="46">
        <v>213000</v>
      </c>
      <c r="H674" s="45">
        <v>0.8</v>
      </c>
      <c r="I674" s="31">
        <v>1.1479999999999999</v>
      </c>
      <c r="J674" s="223">
        <f t="shared" si="62"/>
        <v>1444000</v>
      </c>
      <c r="K674" s="39">
        <f t="shared" si="60"/>
        <v>1444000</v>
      </c>
      <c r="L674" s="261">
        <f t="shared" si="61"/>
        <v>0</v>
      </c>
      <c r="M674" s="14"/>
    </row>
    <row r="675" spans="1:13" ht="61.5" customHeight="1" x14ac:dyDescent="0.3">
      <c r="A675" s="69"/>
      <c r="B675" s="8"/>
      <c r="C675" s="82" t="s">
        <v>838</v>
      </c>
      <c r="D675" s="270" t="s">
        <v>51</v>
      </c>
      <c r="E675" s="27" t="s">
        <v>23</v>
      </c>
      <c r="F675" s="72">
        <f>2.6*6</f>
        <v>15.600000000000001</v>
      </c>
      <c r="G675" s="29">
        <v>453000</v>
      </c>
      <c r="H675" s="45">
        <v>0.8</v>
      </c>
      <c r="I675" s="31">
        <v>1.1479999999999999</v>
      </c>
      <c r="J675" s="223">
        <f t="shared" si="62"/>
        <v>6490000</v>
      </c>
      <c r="K675" s="39">
        <f t="shared" si="60"/>
        <v>6490000</v>
      </c>
      <c r="L675" s="261">
        <f t="shared" si="61"/>
        <v>0</v>
      </c>
      <c r="M675" s="14"/>
    </row>
    <row r="676" spans="1:13" ht="61.5" customHeight="1" x14ac:dyDescent="0.3">
      <c r="A676" s="69"/>
      <c r="B676" s="8"/>
      <c r="C676" s="82" t="s">
        <v>572</v>
      </c>
      <c r="D676" s="270" t="s">
        <v>55</v>
      </c>
      <c r="E676" s="27" t="s">
        <v>23</v>
      </c>
      <c r="F676" s="72">
        <f>6*2.4</f>
        <v>14.399999999999999</v>
      </c>
      <c r="G676" s="29">
        <v>905000</v>
      </c>
      <c r="H676" s="45">
        <v>0.8</v>
      </c>
      <c r="I676" s="79">
        <v>1.1479999999999999</v>
      </c>
      <c r="J676" s="223">
        <f t="shared" si="62"/>
        <v>11969000</v>
      </c>
      <c r="K676" s="39">
        <f t="shared" si="60"/>
        <v>11969000</v>
      </c>
      <c r="L676" s="261">
        <f t="shared" si="61"/>
        <v>0</v>
      </c>
      <c r="M676" s="14"/>
    </row>
    <row r="677" spans="1:13" ht="61.5" customHeight="1" x14ac:dyDescent="0.3">
      <c r="A677" s="69"/>
      <c r="B677" s="8"/>
      <c r="C677" s="82" t="s">
        <v>573</v>
      </c>
      <c r="D677" s="271" t="s">
        <v>32</v>
      </c>
      <c r="E677" s="27" t="s">
        <v>23</v>
      </c>
      <c r="F677" s="72">
        <f>6*6</f>
        <v>36</v>
      </c>
      <c r="G677" s="29">
        <v>215000</v>
      </c>
      <c r="H677" s="45">
        <v>0.8</v>
      </c>
      <c r="I677" s="31">
        <v>1.1479999999999999</v>
      </c>
      <c r="J677" s="223">
        <f t="shared" si="62"/>
        <v>7108000</v>
      </c>
      <c r="K677" s="39">
        <f t="shared" si="60"/>
        <v>7108000</v>
      </c>
      <c r="L677" s="261">
        <f t="shared" si="61"/>
        <v>0</v>
      </c>
      <c r="M677" s="14"/>
    </row>
    <row r="678" spans="1:13" ht="61.5" customHeight="1" x14ac:dyDescent="0.3">
      <c r="A678" s="149">
        <v>42</v>
      </c>
      <c r="B678" s="150" t="s">
        <v>574</v>
      </c>
      <c r="C678" s="474" t="s">
        <v>1055</v>
      </c>
      <c r="D678" s="475"/>
      <c r="E678" s="475"/>
      <c r="F678" s="475"/>
      <c r="G678" s="475"/>
      <c r="H678" s="475"/>
      <c r="I678" s="476"/>
      <c r="J678" s="221">
        <f>SUM(J679)</f>
        <v>0</v>
      </c>
      <c r="K678" s="39">
        <f t="shared" si="60"/>
        <v>0</v>
      </c>
      <c r="L678" s="261">
        <f t="shared" si="61"/>
        <v>0</v>
      </c>
      <c r="M678" s="232" t="s">
        <v>575</v>
      </c>
    </row>
    <row r="679" spans="1:13" ht="90" customHeight="1" x14ac:dyDescent="0.3">
      <c r="A679" s="67"/>
      <c r="B679" s="68"/>
      <c r="C679" s="20" t="s">
        <v>576</v>
      </c>
      <c r="D679" s="267"/>
      <c r="E679" s="27" t="s">
        <v>23</v>
      </c>
      <c r="F679" s="35">
        <v>61.5</v>
      </c>
      <c r="G679" s="464" t="s">
        <v>1115</v>
      </c>
      <c r="H679" s="464"/>
      <c r="I679" s="465"/>
      <c r="J679" s="227"/>
      <c r="K679" s="39"/>
      <c r="L679" s="261">
        <f t="shared" si="61"/>
        <v>0</v>
      </c>
      <c r="M679" s="14"/>
    </row>
    <row r="680" spans="1:13" ht="61.5" customHeight="1" x14ac:dyDescent="0.3">
      <c r="A680" s="149">
        <v>43</v>
      </c>
      <c r="B680" s="150" t="s">
        <v>574</v>
      </c>
      <c r="C680" s="474" t="s">
        <v>1056</v>
      </c>
      <c r="D680" s="475"/>
      <c r="E680" s="475"/>
      <c r="F680" s="475"/>
      <c r="G680" s="475"/>
      <c r="H680" s="475"/>
      <c r="I680" s="476"/>
      <c r="J680" s="221">
        <f>SUM(J681:J689)</f>
        <v>132794000</v>
      </c>
      <c r="K680" s="39">
        <f t="shared" si="60"/>
        <v>0</v>
      </c>
      <c r="L680" s="261">
        <f t="shared" si="61"/>
        <v>132794000</v>
      </c>
      <c r="M680" s="232" t="s">
        <v>575</v>
      </c>
    </row>
    <row r="681" spans="1:13" ht="61.5" customHeight="1" x14ac:dyDescent="0.3">
      <c r="A681" s="69"/>
      <c r="B681" s="8"/>
      <c r="C681" s="470" t="s">
        <v>1057</v>
      </c>
      <c r="D681" s="471"/>
      <c r="E681" s="471"/>
      <c r="F681" s="472"/>
      <c r="G681" s="471"/>
      <c r="H681" s="471"/>
      <c r="I681" s="473"/>
      <c r="J681" s="223"/>
      <c r="K681" s="39">
        <f t="shared" si="60"/>
        <v>0</v>
      </c>
      <c r="L681" s="261">
        <f t="shared" si="61"/>
        <v>0</v>
      </c>
      <c r="M681" s="14"/>
    </row>
    <row r="682" spans="1:13" ht="61.5" customHeight="1" x14ac:dyDescent="0.3">
      <c r="A682" s="69"/>
      <c r="B682" s="8"/>
      <c r="C682" s="82" t="s">
        <v>839</v>
      </c>
      <c r="D682" s="270" t="s">
        <v>51</v>
      </c>
      <c r="E682" s="27" t="s">
        <v>23</v>
      </c>
      <c r="F682" s="72">
        <f>5.3*15.6</f>
        <v>82.679999999999993</v>
      </c>
      <c r="G682" s="29">
        <v>453000</v>
      </c>
      <c r="H682" s="45">
        <v>0.8</v>
      </c>
      <c r="I682" s="31">
        <v>1.1479999999999999</v>
      </c>
      <c r="J682" s="223">
        <f t="shared" ref="J682:J689" si="63">ROUND(F682*G682*H682*I682,-3)</f>
        <v>34398000</v>
      </c>
      <c r="K682" s="39">
        <f t="shared" si="60"/>
        <v>34398000</v>
      </c>
      <c r="L682" s="261">
        <f t="shared" si="61"/>
        <v>0</v>
      </c>
      <c r="M682" s="14"/>
    </row>
    <row r="683" spans="1:13" ht="61.5" customHeight="1" x14ac:dyDescent="0.3">
      <c r="A683" s="69"/>
      <c r="B683" s="8"/>
      <c r="C683" s="82" t="s">
        <v>577</v>
      </c>
      <c r="D683" s="272" t="s">
        <v>33</v>
      </c>
      <c r="E683" s="27" t="s">
        <v>23</v>
      </c>
      <c r="F683" s="89">
        <f>15.6*6</f>
        <v>93.6</v>
      </c>
      <c r="G683" s="29">
        <v>453000</v>
      </c>
      <c r="H683" s="45">
        <v>0.8</v>
      </c>
      <c r="I683" s="31">
        <v>1.1479999999999999</v>
      </c>
      <c r="J683" s="223">
        <f t="shared" si="63"/>
        <v>38941000</v>
      </c>
      <c r="K683" s="39">
        <f t="shared" si="60"/>
        <v>38941000</v>
      </c>
      <c r="L683" s="261">
        <f t="shared" si="61"/>
        <v>0</v>
      </c>
      <c r="M683" s="14"/>
    </row>
    <row r="684" spans="1:13" ht="61.5" customHeight="1" x14ac:dyDescent="0.3">
      <c r="A684" s="93"/>
      <c r="B684" s="94"/>
      <c r="C684" s="70" t="s">
        <v>578</v>
      </c>
      <c r="D684" s="271" t="s">
        <v>32</v>
      </c>
      <c r="E684" s="27" t="s">
        <v>23</v>
      </c>
      <c r="F684" s="95">
        <f>(5.3*15.6)-(5*5.2)-(5.2*0.3)*2</f>
        <v>53.559999999999995</v>
      </c>
      <c r="G684" s="29">
        <v>215000</v>
      </c>
      <c r="H684" s="45">
        <v>0.8</v>
      </c>
      <c r="I684" s="31">
        <v>1.1479999999999999</v>
      </c>
      <c r="J684" s="223">
        <f t="shared" si="63"/>
        <v>10576000</v>
      </c>
      <c r="K684" s="39">
        <f t="shared" si="60"/>
        <v>10576000</v>
      </c>
      <c r="L684" s="261">
        <f t="shared" si="61"/>
        <v>0</v>
      </c>
      <c r="M684" s="24"/>
    </row>
    <row r="685" spans="1:13" ht="61.5" customHeight="1" x14ac:dyDescent="0.3">
      <c r="A685" s="69"/>
      <c r="B685" s="8"/>
      <c r="C685" s="82" t="s">
        <v>579</v>
      </c>
      <c r="D685" s="270" t="s">
        <v>52</v>
      </c>
      <c r="E685" s="27" t="s">
        <v>23</v>
      </c>
      <c r="F685" s="72">
        <f>5.35*2.5</f>
        <v>13.375</v>
      </c>
      <c r="G685" s="11" t="s">
        <v>53</v>
      </c>
      <c r="H685" s="45">
        <v>0.8</v>
      </c>
      <c r="I685" s="79">
        <v>1.1479999999999999</v>
      </c>
      <c r="J685" s="223">
        <f t="shared" si="63"/>
        <v>2899000</v>
      </c>
      <c r="K685" s="39">
        <f t="shared" si="60"/>
        <v>2899000</v>
      </c>
      <c r="L685" s="261">
        <f t="shared" si="61"/>
        <v>0</v>
      </c>
      <c r="M685" s="14"/>
    </row>
    <row r="686" spans="1:13" ht="61.5" customHeight="1" x14ac:dyDescent="0.3">
      <c r="A686" s="69"/>
      <c r="B686" s="8"/>
      <c r="C686" s="82" t="s">
        <v>580</v>
      </c>
      <c r="D686" s="270" t="s">
        <v>80</v>
      </c>
      <c r="E686" s="71" t="s">
        <v>23</v>
      </c>
      <c r="F686" s="72">
        <f>8*4.55</f>
        <v>36.4</v>
      </c>
      <c r="G686" s="29">
        <v>385000</v>
      </c>
      <c r="H686" s="45">
        <v>0.8</v>
      </c>
      <c r="I686" s="31">
        <v>1.1479999999999999</v>
      </c>
      <c r="J686" s="223">
        <f t="shared" si="63"/>
        <v>12870000</v>
      </c>
      <c r="K686" s="39">
        <f t="shared" si="60"/>
        <v>12870000</v>
      </c>
      <c r="L686" s="261">
        <f t="shared" si="61"/>
        <v>0</v>
      </c>
      <c r="M686" s="14"/>
    </row>
    <row r="687" spans="1:13" ht="61.5" customHeight="1" x14ac:dyDescent="0.3">
      <c r="A687" s="69"/>
      <c r="B687" s="8"/>
      <c r="C687" s="82" t="s">
        <v>581</v>
      </c>
      <c r="D687" s="271" t="s">
        <v>32</v>
      </c>
      <c r="E687" s="27" t="s">
        <v>23</v>
      </c>
      <c r="F687" s="72">
        <f>6.9*15.6</f>
        <v>107.64</v>
      </c>
      <c r="G687" s="29">
        <v>215000</v>
      </c>
      <c r="H687" s="45">
        <v>0.8</v>
      </c>
      <c r="I687" s="31">
        <v>1.1479999999999999</v>
      </c>
      <c r="J687" s="223">
        <f t="shared" si="63"/>
        <v>21254000</v>
      </c>
      <c r="K687" s="39">
        <f t="shared" si="60"/>
        <v>21254000</v>
      </c>
      <c r="L687" s="261">
        <f t="shared" si="61"/>
        <v>0</v>
      </c>
      <c r="M687" s="14"/>
    </row>
    <row r="688" spans="1:13" ht="61.5" customHeight="1" x14ac:dyDescent="0.3">
      <c r="A688" s="69"/>
      <c r="B688" s="8"/>
      <c r="C688" s="82" t="s">
        <v>582</v>
      </c>
      <c r="D688" s="267" t="s">
        <v>24</v>
      </c>
      <c r="E688" s="8" t="s">
        <v>25</v>
      </c>
      <c r="F688" s="72">
        <f>(5.2*0.8*0.3)*2</f>
        <v>2.496</v>
      </c>
      <c r="G688" s="29">
        <v>2828000</v>
      </c>
      <c r="H688" s="45">
        <v>0.8</v>
      </c>
      <c r="I688" s="31">
        <v>1.1479999999999999</v>
      </c>
      <c r="J688" s="223">
        <f t="shared" si="63"/>
        <v>6483000</v>
      </c>
      <c r="K688" s="39">
        <f t="shared" si="60"/>
        <v>6483000</v>
      </c>
      <c r="L688" s="261">
        <f t="shared" si="61"/>
        <v>0</v>
      </c>
      <c r="M688" s="14"/>
    </row>
    <row r="689" spans="1:13" ht="61.5" customHeight="1" x14ac:dyDescent="0.3">
      <c r="A689" s="69"/>
      <c r="B689" s="8"/>
      <c r="C689" s="82" t="s">
        <v>583</v>
      </c>
      <c r="D689" s="271" t="s">
        <v>32</v>
      </c>
      <c r="E689" s="27" t="s">
        <v>23</v>
      </c>
      <c r="F689" s="72">
        <f>5*5.2+1.1*1.1</f>
        <v>27.21</v>
      </c>
      <c r="G689" s="29">
        <v>215000</v>
      </c>
      <c r="H689" s="45">
        <v>0.8</v>
      </c>
      <c r="I689" s="31">
        <v>1.1479999999999999</v>
      </c>
      <c r="J689" s="223">
        <f t="shared" si="63"/>
        <v>5373000</v>
      </c>
      <c r="K689" s="39">
        <f t="shared" si="60"/>
        <v>5373000</v>
      </c>
      <c r="L689" s="261">
        <f t="shared" si="61"/>
        <v>0</v>
      </c>
      <c r="M689" s="14"/>
    </row>
    <row r="690" spans="1:13" ht="61.5" customHeight="1" x14ac:dyDescent="0.3">
      <c r="A690" s="149">
        <v>44</v>
      </c>
      <c r="B690" s="150" t="s">
        <v>584</v>
      </c>
      <c r="C690" s="455" t="s">
        <v>585</v>
      </c>
      <c r="D690" s="456"/>
      <c r="E690" s="456"/>
      <c r="F690" s="456"/>
      <c r="G690" s="456"/>
      <c r="H690" s="456"/>
      <c r="I690" s="457"/>
      <c r="J690" s="221">
        <f>SUM(J691:J697)</f>
        <v>79654000</v>
      </c>
      <c r="K690" s="39">
        <f t="shared" si="60"/>
        <v>0</v>
      </c>
      <c r="L690" s="261">
        <f t="shared" si="61"/>
        <v>79654000</v>
      </c>
      <c r="M690" s="24"/>
    </row>
    <row r="691" spans="1:13" ht="90" customHeight="1" x14ac:dyDescent="0.3">
      <c r="A691" s="67"/>
      <c r="B691" s="68"/>
      <c r="C691" s="20" t="s">
        <v>586</v>
      </c>
      <c r="D691" s="267"/>
      <c r="E691" s="27" t="s">
        <v>23</v>
      </c>
      <c r="F691" s="35">
        <v>54.8</v>
      </c>
      <c r="G691" s="464" t="s">
        <v>1041</v>
      </c>
      <c r="H691" s="464"/>
      <c r="I691" s="465"/>
      <c r="J691" s="227"/>
      <c r="K691" s="39"/>
      <c r="L691" s="261">
        <f t="shared" si="61"/>
        <v>0</v>
      </c>
      <c r="M691" s="14"/>
    </row>
    <row r="692" spans="1:13" ht="61.5" customHeight="1" x14ac:dyDescent="0.3">
      <c r="A692" s="69"/>
      <c r="B692" s="8"/>
      <c r="C692" s="82" t="s">
        <v>840</v>
      </c>
      <c r="D692" s="270" t="s">
        <v>51</v>
      </c>
      <c r="E692" s="27" t="s">
        <v>23</v>
      </c>
      <c r="F692" s="72">
        <f>9.9*5</f>
        <v>49.5</v>
      </c>
      <c r="G692" s="29">
        <v>453000</v>
      </c>
      <c r="H692" s="45">
        <v>0.8</v>
      </c>
      <c r="I692" s="31">
        <v>1.1479999999999999</v>
      </c>
      <c r="J692" s="223">
        <f t="shared" ref="J692:J697" si="64">ROUND(F692*G692*H692*I692,-3)</f>
        <v>20594000</v>
      </c>
      <c r="K692" s="39">
        <f t="shared" si="60"/>
        <v>20594000</v>
      </c>
      <c r="L692" s="261">
        <f t="shared" si="61"/>
        <v>0</v>
      </c>
      <c r="M692" s="14"/>
    </row>
    <row r="693" spans="1:13" ht="61.5" customHeight="1" x14ac:dyDescent="0.3">
      <c r="A693" s="69"/>
      <c r="B693" s="8"/>
      <c r="C693" s="82" t="s">
        <v>587</v>
      </c>
      <c r="D693" s="267" t="s">
        <v>161</v>
      </c>
      <c r="E693" s="71" t="s">
        <v>23</v>
      </c>
      <c r="F693" s="72">
        <f>9.6*4</f>
        <v>38.4</v>
      </c>
      <c r="G693" s="11">
        <v>396000</v>
      </c>
      <c r="H693" s="45">
        <v>0.8</v>
      </c>
      <c r="I693" s="31">
        <v>1.1479999999999999</v>
      </c>
      <c r="J693" s="223">
        <f t="shared" si="64"/>
        <v>13966000</v>
      </c>
      <c r="K693" s="39">
        <f t="shared" si="60"/>
        <v>13966000</v>
      </c>
      <c r="L693" s="261">
        <f t="shared" si="61"/>
        <v>0</v>
      </c>
      <c r="M693" s="14"/>
    </row>
    <row r="694" spans="1:13" ht="61.5" customHeight="1" x14ac:dyDescent="0.3">
      <c r="A694" s="69"/>
      <c r="B694" s="8"/>
      <c r="C694" s="82" t="s">
        <v>588</v>
      </c>
      <c r="D694" s="272" t="s">
        <v>33</v>
      </c>
      <c r="E694" s="27" t="s">
        <v>23</v>
      </c>
      <c r="F694" s="89">
        <f>1.5*9.6</f>
        <v>14.399999999999999</v>
      </c>
      <c r="G694" s="29">
        <v>453000</v>
      </c>
      <c r="H694" s="45">
        <v>0.8</v>
      </c>
      <c r="I694" s="31">
        <v>1.1479999999999999</v>
      </c>
      <c r="J694" s="223">
        <f t="shared" si="64"/>
        <v>5991000</v>
      </c>
      <c r="K694" s="39">
        <f t="shared" si="60"/>
        <v>5991000</v>
      </c>
      <c r="L694" s="261">
        <f t="shared" si="61"/>
        <v>0</v>
      </c>
      <c r="M694" s="14"/>
    </row>
    <row r="695" spans="1:13" ht="61.5" customHeight="1" x14ac:dyDescent="0.3">
      <c r="A695" s="69"/>
      <c r="B695" s="8"/>
      <c r="C695" s="82" t="s">
        <v>589</v>
      </c>
      <c r="D695" s="271" t="s">
        <v>32</v>
      </c>
      <c r="E695" s="27" t="s">
        <v>23</v>
      </c>
      <c r="F695" s="72">
        <f>9.6*7.6</f>
        <v>72.959999999999994</v>
      </c>
      <c r="G695" s="29">
        <v>215000</v>
      </c>
      <c r="H695" s="45">
        <v>0.8</v>
      </c>
      <c r="I695" s="31">
        <v>1.1479999999999999</v>
      </c>
      <c r="J695" s="223">
        <f t="shared" si="64"/>
        <v>14406000</v>
      </c>
      <c r="K695" s="39">
        <f t="shared" si="60"/>
        <v>14406000</v>
      </c>
      <c r="L695" s="261">
        <f t="shared" si="61"/>
        <v>0</v>
      </c>
      <c r="M695" s="14"/>
    </row>
    <row r="696" spans="1:13" ht="61.5" customHeight="1" x14ac:dyDescent="0.3">
      <c r="A696" s="69"/>
      <c r="B696" s="8"/>
      <c r="C696" s="82" t="s">
        <v>590</v>
      </c>
      <c r="D696" s="270" t="s">
        <v>101</v>
      </c>
      <c r="E696" s="71" t="s">
        <v>23</v>
      </c>
      <c r="F696" s="75">
        <f>5*9.6</f>
        <v>48</v>
      </c>
      <c r="G696" s="29">
        <v>339000</v>
      </c>
      <c r="H696" s="45">
        <v>0.8</v>
      </c>
      <c r="I696" s="31">
        <v>1.1479999999999999</v>
      </c>
      <c r="J696" s="223">
        <f t="shared" si="64"/>
        <v>14944000</v>
      </c>
      <c r="K696" s="39">
        <f t="shared" si="60"/>
        <v>14944000</v>
      </c>
      <c r="L696" s="261">
        <f t="shared" si="61"/>
        <v>0</v>
      </c>
      <c r="M696" s="14"/>
    </row>
    <row r="697" spans="1:13" ht="61.5" customHeight="1" x14ac:dyDescent="0.3">
      <c r="A697" s="69"/>
      <c r="B697" s="8"/>
      <c r="C697" s="82" t="s">
        <v>591</v>
      </c>
      <c r="D697" s="270" t="s">
        <v>52</v>
      </c>
      <c r="E697" s="27" t="s">
        <v>23</v>
      </c>
      <c r="F697" s="72">
        <f>(5*4.5)*2</f>
        <v>45</v>
      </c>
      <c r="G697" s="11" t="s">
        <v>53</v>
      </c>
      <c r="H697" s="45">
        <v>0.8</v>
      </c>
      <c r="I697" s="79">
        <v>1.1479999999999999</v>
      </c>
      <c r="J697" s="223">
        <f t="shared" si="64"/>
        <v>9753000</v>
      </c>
      <c r="K697" s="39">
        <f t="shared" si="60"/>
        <v>9753000</v>
      </c>
      <c r="L697" s="261">
        <f t="shared" si="61"/>
        <v>0</v>
      </c>
      <c r="M697" s="14"/>
    </row>
    <row r="698" spans="1:13" ht="61.5" customHeight="1" x14ac:dyDescent="0.3">
      <c r="A698" s="149">
        <v>45</v>
      </c>
      <c r="B698" s="150" t="s">
        <v>592</v>
      </c>
      <c r="C698" s="455" t="s">
        <v>1111</v>
      </c>
      <c r="D698" s="456"/>
      <c r="E698" s="456"/>
      <c r="F698" s="456"/>
      <c r="G698" s="456"/>
      <c r="H698" s="456"/>
      <c r="I698" s="457"/>
      <c r="J698" s="221">
        <f>SUM(J699:J721)</f>
        <v>101037000</v>
      </c>
      <c r="K698" s="39">
        <f t="shared" si="60"/>
        <v>0</v>
      </c>
      <c r="L698" s="261">
        <f t="shared" si="61"/>
        <v>101037000</v>
      </c>
      <c r="M698" s="24"/>
    </row>
    <row r="699" spans="1:13" ht="90" customHeight="1" x14ac:dyDescent="0.3">
      <c r="A699" s="67"/>
      <c r="B699" s="68"/>
      <c r="C699" s="20" t="s">
        <v>593</v>
      </c>
      <c r="D699" s="267"/>
      <c r="E699" s="27" t="s">
        <v>23</v>
      </c>
      <c r="F699" s="35">
        <v>92</v>
      </c>
      <c r="G699" s="464" t="s">
        <v>1041</v>
      </c>
      <c r="H699" s="464"/>
      <c r="I699" s="465"/>
      <c r="J699" s="227"/>
      <c r="K699" s="39"/>
      <c r="L699" s="261">
        <f t="shared" si="61"/>
        <v>0</v>
      </c>
      <c r="M699" s="14"/>
    </row>
    <row r="700" spans="1:13" ht="61.5" customHeight="1" x14ac:dyDescent="0.3">
      <c r="A700" s="69"/>
      <c r="B700" s="8"/>
      <c r="C700" s="82" t="s">
        <v>594</v>
      </c>
      <c r="D700" s="267" t="s">
        <v>24</v>
      </c>
      <c r="E700" s="27" t="s">
        <v>25</v>
      </c>
      <c r="F700" s="72">
        <f>(0.6*0.6*3)*2</f>
        <v>2.16</v>
      </c>
      <c r="G700" s="29">
        <v>2828000</v>
      </c>
      <c r="H700" s="45">
        <v>0.8</v>
      </c>
      <c r="I700" s="31">
        <v>1.1479999999999999</v>
      </c>
      <c r="J700" s="223">
        <f t="shared" ref="J700:J721" si="65">ROUND(F700*G700*H700*I700,-3)</f>
        <v>5610000</v>
      </c>
      <c r="K700" s="39">
        <f t="shared" si="60"/>
        <v>5610000</v>
      </c>
      <c r="L700" s="261">
        <f t="shared" si="61"/>
        <v>0</v>
      </c>
      <c r="M700" s="14"/>
    </row>
    <row r="701" spans="1:13" ht="61.5" customHeight="1" x14ac:dyDescent="0.3">
      <c r="A701" s="69"/>
      <c r="B701" s="8"/>
      <c r="C701" s="82" t="s">
        <v>595</v>
      </c>
      <c r="D701" s="267" t="s">
        <v>26</v>
      </c>
      <c r="E701" s="27" t="s">
        <v>23</v>
      </c>
      <c r="F701" s="89">
        <f>5.2*2.4</f>
        <v>12.48</v>
      </c>
      <c r="G701" s="29">
        <v>679000</v>
      </c>
      <c r="H701" s="45">
        <v>0.8</v>
      </c>
      <c r="I701" s="31">
        <v>1.1479999999999999</v>
      </c>
      <c r="J701" s="223">
        <f t="shared" si="65"/>
        <v>7782000</v>
      </c>
      <c r="K701" s="39">
        <f t="shared" si="60"/>
        <v>7782000</v>
      </c>
      <c r="L701" s="261">
        <f t="shared" si="61"/>
        <v>0</v>
      </c>
      <c r="M701" s="14"/>
    </row>
    <row r="702" spans="1:13" ht="61.5" customHeight="1" x14ac:dyDescent="0.3">
      <c r="A702" s="69"/>
      <c r="B702" s="8"/>
      <c r="C702" s="82" t="s">
        <v>1113</v>
      </c>
      <c r="D702" s="270" t="s">
        <v>29</v>
      </c>
      <c r="E702" s="27" t="s">
        <v>23</v>
      </c>
      <c r="F702" s="72">
        <f>5.7*1.5+3.4*2.2</f>
        <v>16.03</v>
      </c>
      <c r="G702" s="29">
        <v>792000</v>
      </c>
      <c r="H702" s="45">
        <v>0.8</v>
      </c>
      <c r="I702" s="31">
        <v>1.1479999999999999</v>
      </c>
      <c r="J702" s="223">
        <f t="shared" si="65"/>
        <v>11660000</v>
      </c>
      <c r="K702" s="39">
        <f t="shared" si="60"/>
        <v>11660000</v>
      </c>
      <c r="L702" s="261">
        <f t="shared" si="61"/>
        <v>0</v>
      </c>
      <c r="M702" s="14"/>
    </row>
    <row r="703" spans="1:13" ht="43.5" customHeight="1" x14ac:dyDescent="0.25">
      <c r="A703" s="67"/>
      <c r="B703" s="68"/>
      <c r="C703" s="25" t="s">
        <v>1112</v>
      </c>
      <c r="D703" s="272" t="s">
        <v>33</v>
      </c>
      <c r="E703" s="27" t="s">
        <v>23</v>
      </c>
      <c r="F703" s="35">
        <f>5.7*1.5+3.4*0.4</f>
        <v>9.91</v>
      </c>
      <c r="G703" s="29">
        <v>453000</v>
      </c>
      <c r="H703" s="45">
        <v>0.8</v>
      </c>
      <c r="I703" s="146">
        <v>1.1479999999999999</v>
      </c>
      <c r="J703" s="32">
        <f t="shared" si="65"/>
        <v>4123000</v>
      </c>
      <c r="K703" s="39">
        <f t="shared" si="60"/>
        <v>4123000</v>
      </c>
      <c r="L703" s="261">
        <f t="shared" si="61"/>
        <v>0</v>
      </c>
      <c r="M703" s="251"/>
    </row>
    <row r="704" spans="1:13" ht="61.5" customHeight="1" x14ac:dyDescent="0.3">
      <c r="A704" s="69"/>
      <c r="B704" s="8"/>
      <c r="C704" s="82" t="s">
        <v>596</v>
      </c>
      <c r="D704" s="270" t="s">
        <v>31</v>
      </c>
      <c r="E704" s="71" t="s">
        <v>23</v>
      </c>
      <c r="F704" s="75">
        <f>6*15.8</f>
        <v>94.800000000000011</v>
      </c>
      <c r="G704" s="29">
        <v>339000</v>
      </c>
      <c r="H704" s="45">
        <v>0.8</v>
      </c>
      <c r="I704" s="31">
        <v>1.1479999999999999</v>
      </c>
      <c r="J704" s="223">
        <f t="shared" si="65"/>
        <v>29515000</v>
      </c>
      <c r="K704" s="39">
        <f t="shared" si="60"/>
        <v>29515000</v>
      </c>
      <c r="L704" s="261">
        <f t="shared" si="61"/>
        <v>0</v>
      </c>
      <c r="M704" s="14"/>
    </row>
    <row r="705" spans="1:13" ht="61.5" customHeight="1" x14ac:dyDescent="0.3">
      <c r="A705" s="69"/>
      <c r="B705" s="8"/>
      <c r="C705" s="82" t="s">
        <v>597</v>
      </c>
      <c r="D705" s="284" t="s">
        <v>58</v>
      </c>
      <c r="E705" s="27" t="s">
        <v>35</v>
      </c>
      <c r="F705" s="76">
        <v>1</v>
      </c>
      <c r="G705" s="29">
        <v>1065100</v>
      </c>
      <c r="H705" s="50">
        <v>1</v>
      </c>
      <c r="I705" s="51">
        <v>1</v>
      </c>
      <c r="J705" s="224">
        <f t="shared" si="65"/>
        <v>1065000</v>
      </c>
      <c r="K705" s="39">
        <f t="shared" si="60"/>
        <v>1065000</v>
      </c>
      <c r="L705" s="261">
        <f t="shared" si="61"/>
        <v>0</v>
      </c>
      <c r="M705" s="14"/>
    </row>
    <row r="706" spans="1:13" ht="61.5" customHeight="1" x14ac:dyDescent="0.3">
      <c r="A706" s="69"/>
      <c r="B706" s="8"/>
      <c r="C706" s="82" t="s">
        <v>598</v>
      </c>
      <c r="D706" s="272" t="s">
        <v>33</v>
      </c>
      <c r="E706" s="27" t="s">
        <v>23</v>
      </c>
      <c r="F706" s="89">
        <f>(5.2*0.3)*4</f>
        <v>6.24</v>
      </c>
      <c r="G706" s="29">
        <v>453000</v>
      </c>
      <c r="H706" s="45">
        <v>0.8</v>
      </c>
      <c r="I706" s="31">
        <v>1.1479999999999999</v>
      </c>
      <c r="J706" s="223">
        <f t="shared" si="65"/>
        <v>2596000</v>
      </c>
      <c r="K706" s="39">
        <f t="shared" si="60"/>
        <v>2596000</v>
      </c>
      <c r="L706" s="261">
        <f t="shared" si="61"/>
        <v>0</v>
      </c>
      <c r="M706" s="14"/>
    </row>
    <row r="707" spans="1:13" ht="61.5" customHeight="1" x14ac:dyDescent="0.3">
      <c r="A707" s="69"/>
      <c r="B707" s="8"/>
      <c r="C707" s="82" t="s">
        <v>599</v>
      </c>
      <c r="D707" s="276" t="s">
        <v>41</v>
      </c>
      <c r="E707" s="59" t="s">
        <v>42</v>
      </c>
      <c r="F707" s="98">
        <v>5</v>
      </c>
      <c r="G707" s="11">
        <v>31950</v>
      </c>
      <c r="H707" s="60">
        <v>1</v>
      </c>
      <c r="I707" s="61">
        <v>1</v>
      </c>
      <c r="J707" s="223">
        <f t="shared" si="65"/>
        <v>160000</v>
      </c>
      <c r="K707" s="39">
        <f t="shared" si="60"/>
        <v>160000</v>
      </c>
      <c r="L707" s="261">
        <f t="shared" si="61"/>
        <v>0</v>
      </c>
      <c r="M707" s="14"/>
    </row>
    <row r="708" spans="1:13" ht="61.5" customHeight="1" x14ac:dyDescent="0.3">
      <c r="A708" s="69"/>
      <c r="B708" s="8"/>
      <c r="C708" s="82" t="s">
        <v>600</v>
      </c>
      <c r="D708" s="276" t="s">
        <v>41</v>
      </c>
      <c r="E708" s="59" t="s">
        <v>42</v>
      </c>
      <c r="F708" s="98">
        <v>12</v>
      </c>
      <c r="G708" s="11">
        <v>10650</v>
      </c>
      <c r="H708" s="60">
        <v>1</v>
      </c>
      <c r="I708" s="61">
        <v>1</v>
      </c>
      <c r="J708" s="223">
        <f t="shared" si="65"/>
        <v>128000</v>
      </c>
      <c r="K708" s="39">
        <f t="shared" si="60"/>
        <v>128000</v>
      </c>
      <c r="L708" s="261">
        <f t="shared" si="61"/>
        <v>0</v>
      </c>
      <c r="M708" s="14"/>
    </row>
    <row r="709" spans="1:13" ht="61.5" customHeight="1" x14ac:dyDescent="0.3">
      <c r="A709" s="69"/>
      <c r="B709" s="8"/>
      <c r="C709" s="82" t="s">
        <v>601</v>
      </c>
      <c r="D709" s="276" t="s">
        <v>41</v>
      </c>
      <c r="E709" s="59" t="s">
        <v>42</v>
      </c>
      <c r="F709" s="98">
        <v>20</v>
      </c>
      <c r="G709" s="11">
        <v>5330</v>
      </c>
      <c r="H709" s="60">
        <v>1</v>
      </c>
      <c r="I709" s="61">
        <v>1</v>
      </c>
      <c r="J709" s="223">
        <f t="shared" si="65"/>
        <v>107000</v>
      </c>
      <c r="K709" s="39">
        <f t="shared" si="60"/>
        <v>107000</v>
      </c>
      <c r="L709" s="261">
        <f t="shared" si="61"/>
        <v>0</v>
      </c>
      <c r="M709" s="14"/>
    </row>
    <row r="710" spans="1:13" ht="61.5" customHeight="1" x14ac:dyDescent="0.3">
      <c r="A710" s="69"/>
      <c r="B710" s="8"/>
      <c r="C710" s="82" t="s">
        <v>602</v>
      </c>
      <c r="D710" s="270" t="s">
        <v>31</v>
      </c>
      <c r="E710" s="27" t="s">
        <v>23</v>
      </c>
      <c r="F710" s="75">
        <f>6.7*5.7</f>
        <v>38.190000000000005</v>
      </c>
      <c r="G710" s="29">
        <v>339000</v>
      </c>
      <c r="H710" s="45">
        <v>0.8</v>
      </c>
      <c r="I710" s="31">
        <v>1.1479999999999999</v>
      </c>
      <c r="J710" s="223">
        <f t="shared" si="65"/>
        <v>11890000</v>
      </c>
      <c r="K710" s="39">
        <f t="shared" si="60"/>
        <v>11890000</v>
      </c>
      <c r="L710" s="261">
        <f t="shared" si="61"/>
        <v>0</v>
      </c>
      <c r="M710" s="14"/>
    </row>
    <row r="711" spans="1:13" ht="61.5" customHeight="1" x14ac:dyDescent="0.3">
      <c r="A711" s="69"/>
      <c r="B711" s="8"/>
      <c r="C711" s="82" t="s">
        <v>1114</v>
      </c>
      <c r="D711" s="271" t="s">
        <v>309</v>
      </c>
      <c r="E711" s="27" t="s">
        <v>23</v>
      </c>
      <c r="F711" s="72">
        <f>3.4*0.5</f>
        <v>1.7</v>
      </c>
      <c r="G711" s="29">
        <v>1566000</v>
      </c>
      <c r="H711" s="45">
        <v>0.8</v>
      </c>
      <c r="I711" s="159">
        <v>1.1479999999999999</v>
      </c>
      <c r="J711" s="223">
        <f t="shared" si="65"/>
        <v>2445000</v>
      </c>
      <c r="K711" s="39">
        <f t="shared" ref="K711:K774" si="66">ROUND(F711*G711*H711*I711,-3)</f>
        <v>2445000</v>
      </c>
      <c r="L711" s="261">
        <f t="shared" si="61"/>
        <v>0</v>
      </c>
      <c r="M711" s="14"/>
    </row>
    <row r="712" spans="1:13" ht="61.5" customHeight="1" x14ac:dyDescent="0.3">
      <c r="A712" s="69"/>
      <c r="B712" s="8"/>
      <c r="C712" s="82" t="s">
        <v>603</v>
      </c>
      <c r="D712" s="267" t="s">
        <v>24</v>
      </c>
      <c r="E712" s="27" t="s">
        <v>25</v>
      </c>
      <c r="F712" s="72">
        <f>(0.35*0.35*2.5)*5</f>
        <v>1.5312499999999998</v>
      </c>
      <c r="G712" s="29">
        <v>2828000</v>
      </c>
      <c r="H712" s="45">
        <v>0.8</v>
      </c>
      <c r="I712" s="31">
        <v>1.1479999999999999</v>
      </c>
      <c r="J712" s="223">
        <f t="shared" si="65"/>
        <v>3977000</v>
      </c>
      <c r="K712" s="39">
        <f t="shared" si="66"/>
        <v>3977000</v>
      </c>
      <c r="L712" s="261">
        <f t="shared" si="61"/>
        <v>0</v>
      </c>
      <c r="M712" s="14"/>
    </row>
    <row r="713" spans="1:13" ht="61.5" customHeight="1" x14ac:dyDescent="0.3">
      <c r="A713" s="69"/>
      <c r="B713" s="8"/>
      <c r="C713" s="82" t="s">
        <v>604</v>
      </c>
      <c r="D713" s="271" t="s">
        <v>32</v>
      </c>
      <c r="E713" s="27" t="s">
        <v>23</v>
      </c>
      <c r="F713" s="72">
        <f>6.7*10.1</f>
        <v>67.67</v>
      </c>
      <c r="G713" s="29">
        <v>215000</v>
      </c>
      <c r="H713" s="45">
        <v>0.8</v>
      </c>
      <c r="I713" s="31">
        <v>1.1479999999999999</v>
      </c>
      <c r="J713" s="223">
        <f t="shared" si="65"/>
        <v>13362000</v>
      </c>
      <c r="K713" s="39">
        <f t="shared" si="66"/>
        <v>13362000</v>
      </c>
      <c r="L713" s="261">
        <f t="shared" si="61"/>
        <v>0</v>
      </c>
      <c r="M713" s="14"/>
    </row>
    <row r="714" spans="1:13" ht="61.5" customHeight="1" x14ac:dyDescent="0.3">
      <c r="A714" s="69"/>
      <c r="B714" s="8"/>
      <c r="C714" s="82" t="s">
        <v>605</v>
      </c>
      <c r="D714" s="270" t="s">
        <v>28</v>
      </c>
      <c r="E714" s="27" t="s">
        <v>23</v>
      </c>
      <c r="F714" s="72">
        <f>1.1*3.4</f>
        <v>3.74</v>
      </c>
      <c r="G714" s="11">
        <v>396000</v>
      </c>
      <c r="H714" s="45">
        <v>0.8</v>
      </c>
      <c r="I714" s="31">
        <v>1.1479999999999999</v>
      </c>
      <c r="J714" s="223">
        <f t="shared" si="65"/>
        <v>1360000</v>
      </c>
      <c r="K714" s="39">
        <f t="shared" si="66"/>
        <v>1360000</v>
      </c>
      <c r="L714" s="261">
        <f t="shared" si="61"/>
        <v>0</v>
      </c>
      <c r="M714" s="14"/>
    </row>
    <row r="715" spans="1:13" ht="61.5" customHeight="1" x14ac:dyDescent="0.3">
      <c r="A715" s="69"/>
      <c r="B715" s="8"/>
      <c r="C715" s="82" t="s">
        <v>606</v>
      </c>
      <c r="D715" s="192" t="s">
        <v>58</v>
      </c>
      <c r="E715" s="27" t="s">
        <v>35</v>
      </c>
      <c r="F715" s="196">
        <v>3</v>
      </c>
      <c r="G715" s="198">
        <v>532550</v>
      </c>
      <c r="H715" s="50">
        <v>1</v>
      </c>
      <c r="I715" s="51">
        <v>1</v>
      </c>
      <c r="J715" s="223">
        <f t="shared" si="65"/>
        <v>1598000</v>
      </c>
      <c r="K715" s="39">
        <f t="shared" si="66"/>
        <v>1598000</v>
      </c>
      <c r="L715" s="261">
        <f t="shared" si="61"/>
        <v>0</v>
      </c>
      <c r="M715" s="14"/>
    </row>
    <row r="716" spans="1:13" ht="61.5" customHeight="1" x14ac:dyDescent="0.3">
      <c r="A716" s="69"/>
      <c r="B716" s="8"/>
      <c r="C716" s="82" t="s">
        <v>607</v>
      </c>
      <c r="D716" s="192" t="s">
        <v>58</v>
      </c>
      <c r="E716" s="27" t="s">
        <v>35</v>
      </c>
      <c r="F716" s="196">
        <v>1</v>
      </c>
      <c r="G716" s="29">
        <v>532550</v>
      </c>
      <c r="H716" s="50">
        <v>1</v>
      </c>
      <c r="I716" s="51">
        <v>1</v>
      </c>
      <c r="J716" s="223">
        <f t="shared" si="65"/>
        <v>533000</v>
      </c>
      <c r="K716" s="39">
        <f t="shared" si="66"/>
        <v>533000</v>
      </c>
      <c r="L716" s="261">
        <f t="shared" si="61"/>
        <v>0</v>
      </c>
      <c r="M716" s="14"/>
    </row>
    <row r="717" spans="1:13" ht="61.5" customHeight="1" x14ac:dyDescent="0.3">
      <c r="A717" s="69"/>
      <c r="B717" s="8"/>
      <c r="C717" s="82" t="s">
        <v>608</v>
      </c>
      <c r="D717" s="267" t="s">
        <v>36</v>
      </c>
      <c r="E717" s="27" t="s">
        <v>35</v>
      </c>
      <c r="F717" s="98">
        <v>1</v>
      </c>
      <c r="G717" s="49">
        <v>213020</v>
      </c>
      <c r="H717" s="52">
        <v>1</v>
      </c>
      <c r="I717" s="53">
        <v>1</v>
      </c>
      <c r="J717" s="223">
        <f t="shared" si="65"/>
        <v>213000</v>
      </c>
      <c r="K717" s="39">
        <f t="shared" si="66"/>
        <v>213000</v>
      </c>
      <c r="L717" s="261">
        <f t="shared" si="61"/>
        <v>0</v>
      </c>
      <c r="M717" s="158"/>
    </row>
    <row r="718" spans="1:13" ht="61.5" customHeight="1" x14ac:dyDescent="0.3">
      <c r="A718" s="69"/>
      <c r="B718" s="8"/>
      <c r="C718" s="82" t="s">
        <v>609</v>
      </c>
      <c r="D718" s="267" t="s">
        <v>89</v>
      </c>
      <c r="E718" s="71" t="s">
        <v>23</v>
      </c>
      <c r="F718" s="72">
        <f>6*1.8</f>
        <v>10.8</v>
      </c>
      <c r="G718" s="29">
        <v>11000</v>
      </c>
      <c r="H718" s="45">
        <v>0.8</v>
      </c>
      <c r="I718" s="31">
        <v>1.1479999999999999</v>
      </c>
      <c r="J718" s="223">
        <f t="shared" si="65"/>
        <v>109000</v>
      </c>
      <c r="K718" s="39">
        <f t="shared" si="66"/>
        <v>109000</v>
      </c>
      <c r="L718" s="261">
        <f t="shared" si="61"/>
        <v>0</v>
      </c>
      <c r="M718" s="14"/>
    </row>
    <row r="719" spans="1:13" ht="61.5" customHeight="1" x14ac:dyDescent="0.3">
      <c r="A719" s="69"/>
      <c r="B719" s="8"/>
      <c r="C719" s="82" t="s">
        <v>610</v>
      </c>
      <c r="D719" s="270" t="s">
        <v>51</v>
      </c>
      <c r="E719" s="27" t="s">
        <v>23</v>
      </c>
      <c r="F719" s="72">
        <f>3*2</f>
        <v>6</v>
      </c>
      <c r="G719" s="29">
        <v>453000</v>
      </c>
      <c r="H719" s="45">
        <v>0.8</v>
      </c>
      <c r="I719" s="31">
        <v>1.1479999999999999</v>
      </c>
      <c r="J719" s="223">
        <f t="shared" si="65"/>
        <v>2496000</v>
      </c>
      <c r="K719" s="39">
        <f t="shared" si="66"/>
        <v>2496000</v>
      </c>
      <c r="L719" s="261">
        <f t="shared" si="61"/>
        <v>0</v>
      </c>
      <c r="M719" s="14"/>
    </row>
    <row r="720" spans="1:13" ht="61.5" customHeight="1" x14ac:dyDescent="0.3">
      <c r="A720" s="69"/>
      <c r="B720" s="8"/>
      <c r="C720" s="82" t="s">
        <v>43</v>
      </c>
      <c r="D720" s="273" t="s">
        <v>44</v>
      </c>
      <c r="E720" s="63" t="s">
        <v>45</v>
      </c>
      <c r="F720" s="77">
        <v>6</v>
      </c>
      <c r="G720" s="46">
        <v>28000</v>
      </c>
      <c r="H720" s="45">
        <v>0.8</v>
      </c>
      <c r="I720" s="31">
        <v>1.1479999999999999</v>
      </c>
      <c r="J720" s="223">
        <f t="shared" si="65"/>
        <v>154000</v>
      </c>
      <c r="K720" s="39">
        <f t="shared" si="66"/>
        <v>154000</v>
      </c>
      <c r="L720" s="261">
        <f t="shared" si="61"/>
        <v>0</v>
      </c>
      <c r="M720" s="14"/>
    </row>
    <row r="721" spans="1:13" ht="61.5" customHeight="1" x14ac:dyDescent="0.3">
      <c r="A721" s="69"/>
      <c r="B721" s="8"/>
      <c r="C721" s="82" t="s">
        <v>46</v>
      </c>
      <c r="D721" s="271" t="s">
        <v>47</v>
      </c>
      <c r="E721" s="63" t="s">
        <v>45</v>
      </c>
      <c r="F721" s="77">
        <v>6</v>
      </c>
      <c r="G721" s="46">
        <v>28000</v>
      </c>
      <c r="H721" s="45">
        <v>0.8</v>
      </c>
      <c r="I721" s="31">
        <v>1.1479999999999999</v>
      </c>
      <c r="J721" s="223">
        <f t="shared" si="65"/>
        <v>154000</v>
      </c>
      <c r="K721" s="39">
        <f t="shared" si="66"/>
        <v>154000</v>
      </c>
      <c r="L721" s="261">
        <f t="shared" si="61"/>
        <v>0</v>
      </c>
      <c r="M721" s="14"/>
    </row>
    <row r="722" spans="1:13" ht="84.75" customHeight="1" x14ac:dyDescent="0.3">
      <c r="A722" s="266">
        <v>46</v>
      </c>
      <c r="B722" s="150" t="s">
        <v>612</v>
      </c>
      <c r="C722" s="455" t="s">
        <v>1058</v>
      </c>
      <c r="D722" s="456"/>
      <c r="E722" s="456"/>
      <c r="F722" s="456"/>
      <c r="G722" s="456"/>
      <c r="H722" s="456"/>
      <c r="I722" s="457"/>
      <c r="J722" s="221">
        <f>SUM(J723)</f>
        <v>0</v>
      </c>
      <c r="K722" s="39">
        <f t="shared" si="66"/>
        <v>0</v>
      </c>
      <c r="L722" s="261">
        <f t="shared" si="61"/>
        <v>0</v>
      </c>
      <c r="M722" s="24"/>
    </row>
    <row r="723" spans="1:13" ht="90" customHeight="1" x14ac:dyDescent="0.3">
      <c r="A723" s="67"/>
      <c r="B723" s="68"/>
      <c r="C723" s="20" t="s">
        <v>1061</v>
      </c>
      <c r="D723" s="267"/>
      <c r="E723" s="27" t="s">
        <v>23</v>
      </c>
      <c r="F723" s="35">
        <f>23.4+23.1+23.3</f>
        <v>69.8</v>
      </c>
      <c r="G723" s="464" t="s">
        <v>1115</v>
      </c>
      <c r="H723" s="464"/>
      <c r="I723" s="465"/>
      <c r="J723" s="227"/>
      <c r="K723" s="39"/>
      <c r="L723" s="261">
        <f t="shared" si="61"/>
        <v>0</v>
      </c>
      <c r="M723" s="14"/>
    </row>
    <row r="724" spans="1:13" ht="80.25" customHeight="1" x14ac:dyDescent="0.3">
      <c r="A724" s="149">
        <v>47</v>
      </c>
      <c r="B724" s="150" t="s">
        <v>612</v>
      </c>
      <c r="C724" s="455" t="s">
        <v>1059</v>
      </c>
      <c r="D724" s="456"/>
      <c r="E724" s="456"/>
      <c r="F724" s="456"/>
      <c r="G724" s="456"/>
      <c r="H724" s="456"/>
      <c r="I724" s="457"/>
      <c r="J724" s="221">
        <f>SUM(J725:J743)</f>
        <v>167026000</v>
      </c>
      <c r="K724" s="39">
        <f t="shared" si="66"/>
        <v>0</v>
      </c>
      <c r="L724" s="261">
        <f t="shared" si="61"/>
        <v>167026000</v>
      </c>
      <c r="M724" s="24"/>
    </row>
    <row r="725" spans="1:13" ht="61.5" customHeight="1" x14ac:dyDescent="0.3">
      <c r="A725" s="69"/>
      <c r="B725" s="8"/>
      <c r="C725" s="470" t="s">
        <v>1060</v>
      </c>
      <c r="D725" s="471"/>
      <c r="E725" s="471"/>
      <c r="F725" s="472"/>
      <c r="G725" s="471"/>
      <c r="H725" s="471"/>
      <c r="I725" s="473"/>
      <c r="J725" s="223"/>
      <c r="K725" s="39">
        <f t="shared" si="66"/>
        <v>0</v>
      </c>
      <c r="L725" s="261">
        <f t="shared" si="61"/>
        <v>0</v>
      </c>
      <c r="M725" s="14"/>
    </row>
    <row r="726" spans="1:13" ht="61.5" customHeight="1" x14ac:dyDescent="0.3">
      <c r="A726" s="69"/>
      <c r="B726" s="8"/>
      <c r="C726" s="82" t="s">
        <v>841</v>
      </c>
      <c r="D726" s="270" t="s">
        <v>51</v>
      </c>
      <c r="E726" s="27" t="s">
        <v>23</v>
      </c>
      <c r="F726" s="72">
        <f>12.3*9.5</f>
        <v>116.85000000000001</v>
      </c>
      <c r="G726" s="29">
        <v>453000</v>
      </c>
      <c r="H726" s="45">
        <v>0.8</v>
      </c>
      <c r="I726" s="31">
        <v>1.1479999999999999</v>
      </c>
      <c r="J726" s="223">
        <f t="shared" ref="J726:J743" si="67">ROUND(F726*G726*H726*I726,-3)</f>
        <v>48614000</v>
      </c>
      <c r="K726" s="39">
        <f t="shared" si="66"/>
        <v>48614000</v>
      </c>
      <c r="L726" s="261">
        <f t="shared" si="61"/>
        <v>0</v>
      </c>
      <c r="M726" s="14"/>
    </row>
    <row r="727" spans="1:13" ht="61.5" customHeight="1" x14ac:dyDescent="0.3">
      <c r="A727" s="69"/>
      <c r="B727" s="8"/>
      <c r="C727" s="82" t="s">
        <v>613</v>
      </c>
      <c r="D727" s="271" t="s">
        <v>32</v>
      </c>
      <c r="E727" s="27" t="s">
        <v>23</v>
      </c>
      <c r="F727" s="72">
        <f>5.25*12</f>
        <v>63</v>
      </c>
      <c r="G727" s="29">
        <v>215000</v>
      </c>
      <c r="H727" s="45">
        <v>0.8</v>
      </c>
      <c r="I727" s="31">
        <v>1.1479999999999999</v>
      </c>
      <c r="J727" s="223">
        <f t="shared" si="67"/>
        <v>12440000</v>
      </c>
      <c r="K727" s="39">
        <f t="shared" si="66"/>
        <v>12440000</v>
      </c>
      <c r="L727" s="261">
        <f t="shared" si="61"/>
        <v>0</v>
      </c>
      <c r="M727" s="14"/>
    </row>
    <row r="728" spans="1:13" ht="61.5" customHeight="1" x14ac:dyDescent="0.3">
      <c r="A728" s="69"/>
      <c r="B728" s="8"/>
      <c r="C728" s="82" t="s">
        <v>614</v>
      </c>
      <c r="D728" s="270" t="s">
        <v>52</v>
      </c>
      <c r="E728" s="71" t="s">
        <v>23</v>
      </c>
      <c r="F728" s="72">
        <f>7.5*12.8</f>
        <v>96</v>
      </c>
      <c r="G728" s="11" t="s">
        <v>53</v>
      </c>
      <c r="H728" s="45">
        <v>0.8</v>
      </c>
      <c r="I728" s="31">
        <v>1.1479999999999999</v>
      </c>
      <c r="J728" s="223">
        <f t="shared" si="67"/>
        <v>20807000</v>
      </c>
      <c r="K728" s="39">
        <f t="shared" si="66"/>
        <v>20807000</v>
      </c>
      <c r="L728" s="261">
        <f t="shared" si="61"/>
        <v>0</v>
      </c>
      <c r="M728" s="14"/>
    </row>
    <row r="729" spans="1:13" ht="61.5" customHeight="1" x14ac:dyDescent="0.3">
      <c r="A729" s="69"/>
      <c r="B729" s="8"/>
      <c r="C729" s="82" t="s">
        <v>615</v>
      </c>
      <c r="D729" s="270" t="s">
        <v>52</v>
      </c>
      <c r="E729" s="27" t="s">
        <v>23</v>
      </c>
      <c r="F729" s="72">
        <f>(7.5*4.2)*2+0.5*12.3</f>
        <v>69.150000000000006</v>
      </c>
      <c r="G729" s="11" t="s">
        <v>53</v>
      </c>
      <c r="H729" s="45">
        <v>0.8</v>
      </c>
      <c r="I729" s="79">
        <v>1.1479999999999999</v>
      </c>
      <c r="J729" s="223">
        <f t="shared" si="67"/>
        <v>14988000</v>
      </c>
      <c r="K729" s="39">
        <f t="shared" si="66"/>
        <v>14988000</v>
      </c>
      <c r="L729" s="261">
        <f t="shared" si="61"/>
        <v>0</v>
      </c>
      <c r="M729" s="14"/>
    </row>
    <row r="730" spans="1:13" ht="61.5" customHeight="1" x14ac:dyDescent="0.3">
      <c r="A730" s="69"/>
      <c r="B730" s="8"/>
      <c r="C730" s="82" t="s">
        <v>616</v>
      </c>
      <c r="D730" s="267" t="s">
        <v>56</v>
      </c>
      <c r="E730" s="27" t="s">
        <v>23</v>
      </c>
      <c r="F730" s="72">
        <f>11.5*4.2</f>
        <v>48.300000000000004</v>
      </c>
      <c r="G730" s="29">
        <v>735000</v>
      </c>
      <c r="H730" s="45">
        <v>0.8</v>
      </c>
      <c r="I730" s="31">
        <v>1.1479999999999999</v>
      </c>
      <c r="J730" s="223">
        <f t="shared" si="67"/>
        <v>32604000</v>
      </c>
      <c r="K730" s="39">
        <f t="shared" si="66"/>
        <v>32604000</v>
      </c>
      <c r="L730" s="261">
        <f t="shared" si="61"/>
        <v>0</v>
      </c>
      <c r="M730" s="14"/>
    </row>
    <row r="731" spans="1:13" ht="61.5" customHeight="1" x14ac:dyDescent="0.3">
      <c r="A731" s="69"/>
      <c r="B731" s="8"/>
      <c r="C731" s="82" t="s">
        <v>617</v>
      </c>
      <c r="D731" s="271" t="s">
        <v>32</v>
      </c>
      <c r="E731" s="27" t="s">
        <v>23</v>
      </c>
      <c r="F731" s="72">
        <f>12.3*6.8</f>
        <v>83.64</v>
      </c>
      <c r="G731" s="29">
        <v>215000</v>
      </c>
      <c r="H731" s="45">
        <v>0.8</v>
      </c>
      <c r="I731" s="31">
        <v>1.1479999999999999</v>
      </c>
      <c r="J731" s="223">
        <f t="shared" si="67"/>
        <v>16515000</v>
      </c>
      <c r="K731" s="39">
        <f t="shared" si="66"/>
        <v>16515000</v>
      </c>
      <c r="L731" s="261">
        <f t="shared" ref="L731:L794" si="68">J731-K731</f>
        <v>0</v>
      </c>
      <c r="M731" s="14"/>
    </row>
    <row r="732" spans="1:13" ht="61.5" customHeight="1" x14ac:dyDescent="0.3">
      <c r="A732" s="69"/>
      <c r="B732" s="8"/>
      <c r="C732" s="82" t="s">
        <v>618</v>
      </c>
      <c r="D732" s="271" t="s">
        <v>54</v>
      </c>
      <c r="E732" s="27" t="s">
        <v>23</v>
      </c>
      <c r="F732" s="72">
        <f>(1*2.5)*2+(0.6*2.5)*2+8.4*1.2+3.8*0.6</f>
        <v>20.36</v>
      </c>
      <c r="G732" s="46">
        <v>213000</v>
      </c>
      <c r="H732" s="45">
        <v>0.8</v>
      </c>
      <c r="I732" s="31">
        <v>1.1479999999999999</v>
      </c>
      <c r="J732" s="223">
        <f t="shared" si="67"/>
        <v>3983000</v>
      </c>
      <c r="K732" s="39">
        <f t="shared" si="66"/>
        <v>3983000</v>
      </c>
      <c r="L732" s="261">
        <f t="shared" si="68"/>
        <v>0</v>
      </c>
      <c r="M732" s="14"/>
    </row>
    <row r="733" spans="1:13" ht="61.5" customHeight="1" x14ac:dyDescent="0.3">
      <c r="A733" s="69"/>
      <c r="B733" s="8"/>
      <c r="C733" s="82" t="s">
        <v>619</v>
      </c>
      <c r="D733" s="192" t="s">
        <v>58</v>
      </c>
      <c r="E733" s="27" t="s">
        <v>35</v>
      </c>
      <c r="F733" s="98">
        <v>1</v>
      </c>
      <c r="G733" s="29">
        <v>1065100</v>
      </c>
      <c r="H733" s="50">
        <v>1</v>
      </c>
      <c r="I733" s="51">
        <v>1</v>
      </c>
      <c r="J733" s="223">
        <f t="shared" si="67"/>
        <v>1065000</v>
      </c>
      <c r="K733" s="39">
        <f t="shared" si="66"/>
        <v>1065000</v>
      </c>
      <c r="L733" s="261">
        <f t="shared" si="68"/>
        <v>0</v>
      </c>
      <c r="M733" s="14"/>
    </row>
    <row r="734" spans="1:13" ht="61.5" customHeight="1" x14ac:dyDescent="0.3">
      <c r="A734" s="69"/>
      <c r="B734" s="8"/>
      <c r="C734" s="82" t="s">
        <v>620</v>
      </c>
      <c r="D734" s="284" t="s">
        <v>104</v>
      </c>
      <c r="E734" s="197" t="s">
        <v>35</v>
      </c>
      <c r="F734" s="195">
        <v>1</v>
      </c>
      <c r="G734" s="29">
        <v>151240</v>
      </c>
      <c r="H734" s="50">
        <v>1</v>
      </c>
      <c r="I734" s="51">
        <v>1</v>
      </c>
      <c r="J734" s="223">
        <f t="shared" si="67"/>
        <v>151000</v>
      </c>
      <c r="K734" s="39">
        <f t="shared" si="66"/>
        <v>151000</v>
      </c>
      <c r="L734" s="261">
        <f t="shared" si="68"/>
        <v>0</v>
      </c>
      <c r="M734" s="14"/>
    </row>
    <row r="735" spans="1:13" ht="61.5" customHeight="1" x14ac:dyDescent="0.3">
      <c r="A735" s="69"/>
      <c r="B735" s="8"/>
      <c r="C735" s="82" t="s">
        <v>621</v>
      </c>
      <c r="D735" s="270" t="s">
        <v>29</v>
      </c>
      <c r="E735" s="27" t="s">
        <v>23</v>
      </c>
      <c r="F735" s="72">
        <f>7.1*0.9</f>
        <v>6.39</v>
      </c>
      <c r="G735" s="29">
        <v>792000</v>
      </c>
      <c r="H735" s="45">
        <v>0.8</v>
      </c>
      <c r="I735" s="31">
        <v>1.1479999999999999</v>
      </c>
      <c r="J735" s="223">
        <f t="shared" si="67"/>
        <v>4648000</v>
      </c>
      <c r="K735" s="39">
        <f t="shared" si="66"/>
        <v>4648000</v>
      </c>
      <c r="L735" s="261">
        <f t="shared" si="68"/>
        <v>0</v>
      </c>
      <c r="M735" s="14"/>
    </row>
    <row r="736" spans="1:13" ht="61.5" customHeight="1" x14ac:dyDescent="0.3">
      <c r="A736" s="69"/>
      <c r="B736" s="8"/>
      <c r="C736" s="82" t="s">
        <v>622</v>
      </c>
      <c r="D736" s="270" t="s">
        <v>52</v>
      </c>
      <c r="E736" s="27" t="s">
        <v>23</v>
      </c>
      <c r="F736" s="72">
        <f>8.4*2.1</f>
        <v>17.64</v>
      </c>
      <c r="G736" s="46">
        <v>213000</v>
      </c>
      <c r="H736" s="45">
        <v>0.8</v>
      </c>
      <c r="I736" s="31">
        <v>1.1479999999999999</v>
      </c>
      <c r="J736" s="223">
        <f t="shared" si="67"/>
        <v>3451000</v>
      </c>
      <c r="K736" s="39">
        <f t="shared" si="66"/>
        <v>3451000</v>
      </c>
      <c r="L736" s="261">
        <f t="shared" si="68"/>
        <v>0</v>
      </c>
      <c r="M736" s="14"/>
    </row>
    <row r="737" spans="1:13" ht="61.5" customHeight="1" x14ac:dyDescent="0.3">
      <c r="A737" s="69"/>
      <c r="B737" s="8"/>
      <c r="C737" s="82" t="s">
        <v>623</v>
      </c>
      <c r="D737" s="270" t="s">
        <v>52</v>
      </c>
      <c r="E737" s="27" t="s">
        <v>23</v>
      </c>
      <c r="F737" s="72">
        <f>3*12</f>
        <v>36</v>
      </c>
      <c r="G737" s="46">
        <v>213000</v>
      </c>
      <c r="H737" s="45">
        <v>0.8</v>
      </c>
      <c r="I737" s="31">
        <v>1.1479999999999999</v>
      </c>
      <c r="J737" s="223">
        <f t="shared" si="67"/>
        <v>7042000</v>
      </c>
      <c r="K737" s="39">
        <f t="shared" si="66"/>
        <v>7042000</v>
      </c>
      <c r="L737" s="261">
        <f t="shared" si="68"/>
        <v>0</v>
      </c>
      <c r="M737" s="14"/>
    </row>
    <row r="738" spans="1:13" ht="61.5" customHeight="1" x14ac:dyDescent="0.3">
      <c r="A738" s="69"/>
      <c r="B738" s="8"/>
      <c r="C738" s="82" t="s">
        <v>624</v>
      </c>
      <c r="D738" s="283" t="s">
        <v>105</v>
      </c>
      <c r="E738" s="27" t="s">
        <v>35</v>
      </c>
      <c r="F738" s="98">
        <v>1</v>
      </c>
      <c r="G738" s="115">
        <v>300360</v>
      </c>
      <c r="H738" s="50">
        <v>1</v>
      </c>
      <c r="I738" s="51">
        <v>1</v>
      </c>
      <c r="J738" s="223">
        <f t="shared" si="67"/>
        <v>300000</v>
      </c>
      <c r="K738" s="39">
        <f t="shared" si="66"/>
        <v>300000</v>
      </c>
      <c r="L738" s="261">
        <f t="shared" si="68"/>
        <v>0</v>
      </c>
      <c r="M738" s="14"/>
    </row>
    <row r="739" spans="1:13" ht="61.5" customHeight="1" x14ac:dyDescent="0.3">
      <c r="A739" s="69"/>
      <c r="B739" s="8"/>
      <c r="C739" s="82" t="s">
        <v>611</v>
      </c>
      <c r="D739" s="276" t="s">
        <v>41</v>
      </c>
      <c r="E739" s="59" t="s">
        <v>42</v>
      </c>
      <c r="F739" s="98">
        <v>2</v>
      </c>
      <c r="G739" s="11">
        <v>31950</v>
      </c>
      <c r="H739" s="60">
        <v>1</v>
      </c>
      <c r="I739" s="61">
        <v>1</v>
      </c>
      <c r="J739" s="223">
        <f t="shared" si="67"/>
        <v>64000</v>
      </c>
      <c r="K739" s="39">
        <f t="shared" si="66"/>
        <v>64000</v>
      </c>
      <c r="L739" s="261">
        <f t="shared" si="68"/>
        <v>0</v>
      </c>
      <c r="M739" s="14"/>
    </row>
    <row r="740" spans="1:13" ht="61.5" customHeight="1" x14ac:dyDescent="0.3">
      <c r="A740" s="69"/>
      <c r="B740" s="8"/>
      <c r="C740" s="82" t="s">
        <v>625</v>
      </c>
      <c r="D740" s="276" t="s">
        <v>41</v>
      </c>
      <c r="E740" s="59" t="s">
        <v>42</v>
      </c>
      <c r="F740" s="98">
        <v>7</v>
      </c>
      <c r="G740" s="11">
        <v>10650</v>
      </c>
      <c r="H740" s="60">
        <v>1</v>
      </c>
      <c r="I740" s="61">
        <v>1</v>
      </c>
      <c r="J740" s="223">
        <f t="shared" si="67"/>
        <v>75000</v>
      </c>
      <c r="K740" s="39">
        <f t="shared" si="66"/>
        <v>75000</v>
      </c>
      <c r="L740" s="261">
        <f t="shared" si="68"/>
        <v>0</v>
      </c>
      <c r="M740" s="14"/>
    </row>
    <row r="741" spans="1:13" ht="61.5" customHeight="1" x14ac:dyDescent="0.3">
      <c r="A741" s="69"/>
      <c r="B741" s="8"/>
      <c r="C741" s="82" t="s">
        <v>72</v>
      </c>
      <c r="D741" s="271" t="s">
        <v>44</v>
      </c>
      <c r="E741" s="63" t="s">
        <v>45</v>
      </c>
      <c r="F741" s="77">
        <v>5</v>
      </c>
      <c r="G741" s="46">
        <v>28000</v>
      </c>
      <c r="H741" s="45">
        <v>0.8</v>
      </c>
      <c r="I741" s="31">
        <v>1.1479999999999999</v>
      </c>
      <c r="J741" s="223">
        <f t="shared" si="67"/>
        <v>129000</v>
      </c>
      <c r="K741" s="39">
        <f t="shared" si="66"/>
        <v>129000</v>
      </c>
      <c r="L741" s="261">
        <f t="shared" si="68"/>
        <v>0</v>
      </c>
      <c r="M741" s="14"/>
    </row>
    <row r="742" spans="1:13" ht="61.5" customHeight="1" x14ac:dyDescent="0.3">
      <c r="A742" s="69"/>
      <c r="B742" s="8"/>
      <c r="C742" s="82" t="s">
        <v>82</v>
      </c>
      <c r="D742" s="271" t="s">
        <v>47</v>
      </c>
      <c r="E742" s="63" t="s">
        <v>45</v>
      </c>
      <c r="F742" s="77">
        <v>5</v>
      </c>
      <c r="G742" s="46">
        <v>28000</v>
      </c>
      <c r="H742" s="45">
        <v>0.8</v>
      </c>
      <c r="I742" s="31">
        <v>1.1479999999999999</v>
      </c>
      <c r="J742" s="223">
        <f t="shared" si="67"/>
        <v>129000</v>
      </c>
      <c r="K742" s="39">
        <f t="shared" si="66"/>
        <v>129000</v>
      </c>
      <c r="L742" s="261">
        <f t="shared" si="68"/>
        <v>0</v>
      </c>
      <c r="M742" s="158"/>
    </row>
    <row r="743" spans="1:13" ht="61.5" customHeight="1" x14ac:dyDescent="0.3">
      <c r="A743" s="69"/>
      <c r="B743" s="8"/>
      <c r="C743" s="82" t="s">
        <v>626</v>
      </c>
      <c r="D743" s="192" t="s">
        <v>58</v>
      </c>
      <c r="E743" s="27" t="s">
        <v>35</v>
      </c>
      <c r="F743" s="196">
        <v>1</v>
      </c>
      <c r="G743" s="29">
        <v>21300</v>
      </c>
      <c r="H743" s="50">
        <v>1</v>
      </c>
      <c r="I743" s="51">
        <v>1</v>
      </c>
      <c r="J743" s="223">
        <f t="shared" si="67"/>
        <v>21000</v>
      </c>
      <c r="K743" s="39">
        <f t="shared" si="66"/>
        <v>21000</v>
      </c>
      <c r="L743" s="261">
        <f t="shared" si="68"/>
        <v>0</v>
      </c>
      <c r="M743" s="14"/>
    </row>
    <row r="744" spans="1:13" ht="61.5" customHeight="1" x14ac:dyDescent="0.3">
      <c r="A744" s="149">
        <v>48</v>
      </c>
      <c r="B744" s="150" t="s">
        <v>627</v>
      </c>
      <c r="C744" s="455" t="s">
        <v>628</v>
      </c>
      <c r="D744" s="456"/>
      <c r="E744" s="456"/>
      <c r="F744" s="456"/>
      <c r="G744" s="456"/>
      <c r="H744" s="456"/>
      <c r="I744" s="457"/>
      <c r="J744" s="221">
        <f>SUM(J745:J756)</f>
        <v>71985000</v>
      </c>
      <c r="K744" s="39">
        <f t="shared" si="66"/>
        <v>0</v>
      </c>
      <c r="L744" s="261">
        <f t="shared" si="68"/>
        <v>71985000</v>
      </c>
      <c r="M744" s="24"/>
    </row>
    <row r="745" spans="1:13" ht="90" customHeight="1" x14ac:dyDescent="0.3">
      <c r="A745" s="67"/>
      <c r="B745" s="68"/>
      <c r="C745" s="20" t="s">
        <v>629</v>
      </c>
      <c r="D745" s="267"/>
      <c r="E745" s="27" t="s">
        <v>23</v>
      </c>
      <c r="F745" s="35">
        <v>37.1</v>
      </c>
      <c r="G745" s="464" t="s">
        <v>1115</v>
      </c>
      <c r="H745" s="464"/>
      <c r="I745" s="465"/>
      <c r="J745" s="227"/>
      <c r="K745" s="39"/>
      <c r="L745" s="261">
        <f t="shared" si="68"/>
        <v>0</v>
      </c>
      <c r="M745" s="14"/>
    </row>
    <row r="746" spans="1:13" ht="61.5" customHeight="1" x14ac:dyDescent="0.3">
      <c r="A746" s="69"/>
      <c r="B746" s="8"/>
      <c r="C746" s="82" t="s">
        <v>630</v>
      </c>
      <c r="D746" s="269" t="s">
        <v>88</v>
      </c>
      <c r="E746" s="8" t="s">
        <v>25</v>
      </c>
      <c r="F746" s="72">
        <f>(0.55*0.55*2.4)*2</f>
        <v>1.4520000000000002</v>
      </c>
      <c r="G746" s="11">
        <v>2828000</v>
      </c>
      <c r="H746" s="45">
        <v>0.8</v>
      </c>
      <c r="I746" s="31">
        <v>1.1479999999999999</v>
      </c>
      <c r="J746" s="223">
        <f t="shared" ref="J746:J756" si="69">ROUND(F746*G746*H746*I746,-3)</f>
        <v>3771000</v>
      </c>
      <c r="K746" s="39">
        <f t="shared" si="66"/>
        <v>3771000</v>
      </c>
      <c r="L746" s="261">
        <f t="shared" si="68"/>
        <v>0</v>
      </c>
      <c r="M746" s="14"/>
    </row>
    <row r="747" spans="1:13" ht="61.5" customHeight="1" x14ac:dyDescent="0.3">
      <c r="A747" s="69"/>
      <c r="B747" s="8"/>
      <c r="C747" s="82" t="s">
        <v>631</v>
      </c>
      <c r="D747" s="271" t="s">
        <v>309</v>
      </c>
      <c r="E747" s="27" t="s">
        <v>23</v>
      </c>
      <c r="F747" s="72">
        <f>3.4*0.85</f>
        <v>2.8899999999999997</v>
      </c>
      <c r="G747" s="29">
        <v>1566000</v>
      </c>
      <c r="H747" s="45">
        <v>0.8</v>
      </c>
      <c r="I747" s="159">
        <v>1.1479999999999999</v>
      </c>
      <c r="J747" s="223">
        <f t="shared" si="69"/>
        <v>4156000</v>
      </c>
      <c r="K747" s="39">
        <f t="shared" si="66"/>
        <v>4156000</v>
      </c>
      <c r="L747" s="261">
        <f t="shared" si="68"/>
        <v>0</v>
      </c>
      <c r="M747" s="14"/>
    </row>
    <row r="748" spans="1:13" ht="61.5" customHeight="1" x14ac:dyDescent="0.3">
      <c r="A748" s="69"/>
      <c r="B748" s="8"/>
      <c r="C748" s="82" t="s">
        <v>632</v>
      </c>
      <c r="D748" s="270" t="s">
        <v>29</v>
      </c>
      <c r="E748" s="27" t="s">
        <v>23</v>
      </c>
      <c r="F748" s="72">
        <f>0.9*1.8+4.9*0.55</f>
        <v>4.3150000000000004</v>
      </c>
      <c r="G748" s="29">
        <v>792000</v>
      </c>
      <c r="H748" s="45">
        <v>0.8</v>
      </c>
      <c r="I748" s="31">
        <v>1.1479999999999999</v>
      </c>
      <c r="J748" s="223">
        <f t="shared" si="69"/>
        <v>3139000</v>
      </c>
      <c r="K748" s="39">
        <f t="shared" si="66"/>
        <v>3139000</v>
      </c>
      <c r="L748" s="261">
        <f t="shared" si="68"/>
        <v>0</v>
      </c>
      <c r="M748" s="14"/>
    </row>
    <row r="749" spans="1:13" ht="61.5" customHeight="1" x14ac:dyDescent="0.3">
      <c r="A749" s="69"/>
      <c r="B749" s="8"/>
      <c r="C749" s="82" t="s">
        <v>633</v>
      </c>
      <c r="D749" s="267" t="s">
        <v>89</v>
      </c>
      <c r="E749" s="71" t="s">
        <v>23</v>
      </c>
      <c r="F749" s="72">
        <f>0.9*1.2+4.9*1.2</f>
        <v>6.96</v>
      </c>
      <c r="G749" s="29">
        <v>11000</v>
      </c>
      <c r="H749" s="45">
        <v>0.8</v>
      </c>
      <c r="I749" s="31">
        <v>1.1479999999999999</v>
      </c>
      <c r="J749" s="223">
        <f t="shared" si="69"/>
        <v>70000</v>
      </c>
      <c r="K749" s="39">
        <f t="shared" si="66"/>
        <v>70000</v>
      </c>
      <c r="L749" s="261">
        <f t="shared" si="68"/>
        <v>0</v>
      </c>
      <c r="M749" s="14"/>
    </row>
    <row r="750" spans="1:13" ht="61.5" customHeight="1" x14ac:dyDescent="0.3">
      <c r="A750" s="69"/>
      <c r="B750" s="8"/>
      <c r="C750" s="82" t="s">
        <v>842</v>
      </c>
      <c r="D750" s="270" t="s">
        <v>51</v>
      </c>
      <c r="E750" s="27" t="s">
        <v>23</v>
      </c>
      <c r="F750" s="72">
        <f>3.8*3.6+2.8*2.6</f>
        <v>20.96</v>
      </c>
      <c r="G750" s="29">
        <v>453000</v>
      </c>
      <c r="H750" s="45">
        <v>0.8</v>
      </c>
      <c r="I750" s="31">
        <v>1.1479999999999999</v>
      </c>
      <c r="J750" s="223">
        <f t="shared" si="69"/>
        <v>8720000</v>
      </c>
      <c r="K750" s="39">
        <f t="shared" si="66"/>
        <v>8720000</v>
      </c>
      <c r="L750" s="261">
        <f t="shared" si="68"/>
        <v>0</v>
      </c>
      <c r="M750" s="14"/>
    </row>
    <row r="751" spans="1:13" ht="61.5" customHeight="1" x14ac:dyDescent="0.3">
      <c r="A751" s="69"/>
      <c r="B751" s="8"/>
      <c r="C751" s="82" t="s">
        <v>634</v>
      </c>
      <c r="D751" s="271" t="s">
        <v>32</v>
      </c>
      <c r="E751" s="27" t="s">
        <v>23</v>
      </c>
      <c r="F751" s="72">
        <f>7.5*6.2</f>
        <v>46.5</v>
      </c>
      <c r="G751" s="29">
        <v>215000</v>
      </c>
      <c r="H751" s="45">
        <v>0.8</v>
      </c>
      <c r="I751" s="31">
        <v>1.1479999999999999</v>
      </c>
      <c r="J751" s="223">
        <f t="shared" si="69"/>
        <v>9182000</v>
      </c>
      <c r="K751" s="39">
        <f t="shared" si="66"/>
        <v>9182000</v>
      </c>
      <c r="L751" s="261">
        <f t="shared" si="68"/>
        <v>0</v>
      </c>
      <c r="M751" s="14"/>
    </row>
    <row r="752" spans="1:13" ht="72" customHeight="1" x14ac:dyDescent="0.3">
      <c r="A752" s="69"/>
      <c r="B752" s="8"/>
      <c r="C752" s="82" t="s">
        <v>635</v>
      </c>
      <c r="D752" s="274" t="s">
        <v>63</v>
      </c>
      <c r="E752" s="27" t="s">
        <v>23</v>
      </c>
      <c r="F752" s="89">
        <f>4*3.6</f>
        <v>14.4</v>
      </c>
      <c r="G752" s="29">
        <v>2975000</v>
      </c>
      <c r="H752" s="45">
        <v>0.8</v>
      </c>
      <c r="I752" s="102">
        <v>1.1479999999999999</v>
      </c>
      <c r="J752" s="229">
        <f t="shared" si="69"/>
        <v>39344000</v>
      </c>
      <c r="K752" s="39">
        <f t="shared" si="66"/>
        <v>39344000</v>
      </c>
      <c r="L752" s="261">
        <f t="shared" si="68"/>
        <v>0</v>
      </c>
      <c r="M752" s="14"/>
    </row>
    <row r="753" spans="1:13" ht="61.5" customHeight="1" x14ac:dyDescent="0.3">
      <c r="A753" s="69"/>
      <c r="B753" s="8"/>
      <c r="C753" s="82" t="s">
        <v>636</v>
      </c>
      <c r="D753" s="267" t="s">
        <v>26</v>
      </c>
      <c r="E753" s="27" t="s">
        <v>23</v>
      </c>
      <c r="F753" s="72">
        <f>2.1*1.6</f>
        <v>3.3600000000000003</v>
      </c>
      <c r="G753" s="29">
        <v>679000</v>
      </c>
      <c r="H753" s="45">
        <v>0.8</v>
      </c>
      <c r="I753" s="31">
        <v>1.1479999999999999</v>
      </c>
      <c r="J753" s="223">
        <f t="shared" si="69"/>
        <v>2095000</v>
      </c>
      <c r="K753" s="39">
        <f t="shared" si="66"/>
        <v>2095000</v>
      </c>
      <c r="L753" s="261">
        <f t="shared" si="68"/>
        <v>0</v>
      </c>
      <c r="M753" s="14"/>
    </row>
    <row r="754" spans="1:13" ht="61.5" customHeight="1" x14ac:dyDescent="0.3">
      <c r="A754" s="69"/>
      <c r="B754" s="8"/>
      <c r="C754" s="82" t="s">
        <v>637</v>
      </c>
      <c r="D754" s="192" t="s">
        <v>58</v>
      </c>
      <c r="E754" s="27" t="s">
        <v>35</v>
      </c>
      <c r="F754" s="98">
        <v>1</v>
      </c>
      <c r="G754" s="29">
        <v>1065100</v>
      </c>
      <c r="H754" s="50">
        <v>1</v>
      </c>
      <c r="I754" s="51">
        <v>1</v>
      </c>
      <c r="J754" s="223">
        <f t="shared" si="69"/>
        <v>1065000</v>
      </c>
      <c r="K754" s="39">
        <f t="shared" si="66"/>
        <v>1065000</v>
      </c>
      <c r="L754" s="261">
        <f t="shared" si="68"/>
        <v>0</v>
      </c>
      <c r="M754" s="14"/>
    </row>
    <row r="755" spans="1:13" ht="61.5" customHeight="1" x14ac:dyDescent="0.3">
      <c r="A755" s="69"/>
      <c r="B755" s="8"/>
      <c r="C755" s="82" t="s">
        <v>165</v>
      </c>
      <c r="D755" s="280" t="s">
        <v>92</v>
      </c>
      <c r="E755" s="27" t="s">
        <v>35</v>
      </c>
      <c r="F755" s="98">
        <v>1</v>
      </c>
      <c r="G755" s="11">
        <v>16590</v>
      </c>
      <c r="H755" s="50">
        <v>1</v>
      </c>
      <c r="I755" s="51">
        <v>1</v>
      </c>
      <c r="J755" s="223">
        <f t="shared" si="69"/>
        <v>17000</v>
      </c>
      <c r="K755" s="39">
        <f t="shared" si="66"/>
        <v>17000</v>
      </c>
      <c r="L755" s="261">
        <f t="shared" si="68"/>
        <v>0</v>
      </c>
      <c r="M755" s="14"/>
    </row>
    <row r="756" spans="1:13" ht="61.5" customHeight="1" x14ac:dyDescent="0.3">
      <c r="A756" s="69"/>
      <c r="B756" s="8"/>
      <c r="C756" s="82" t="s">
        <v>638</v>
      </c>
      <c r="D756" s="267" t="s">
        <v>36</v>
      </c>
      <c r="E756" s="27" t="s">
        <v>35</v>
      </c>
      <c r="F756" s="98">
        <v>2</v>
      </c>
      <c r="G756" s="49">
        <v>213020</v>
      </c>
      <c r="H756" s="52">
        <v>1</v>
      </c>
      <c r="I756" s="53">
        <v>1</v>
      </c>
      <c r="J756" s="223">
        <f t="shared" si="69"/>
        <v>426000</v>
      </c>
      <c r="K756" s="39">
        <f t="shared" si="66"/>
        <v>426000</v>
      </c>
      <c r="L756" s="261">
        <f t="shared" si="68"/>
        <v>0</v>
      </c>
      <c r="M756" s="14"/>
    </row>
    <row r="757" spans="1:13" ht="61.5" customHeight="1" x14ac:dyDescent="0.3">
      <c r="A757" s="108">
        <v>49</v>
      </c>
      <c r="B757" s="109" t="s">
        <v>639</v>
      </c>
      <c r="C757" s="455" t="s">
        <v>640</v>
      </c>
      <c r="D757" s="456"/>
      <c r="E757" s="456"/>
      <c r="F757" s="456"/>
      <c r="G757" s="456"/>
      <c r="H757" s="456"/>
      <c r="I757" s="457"/>
      <c r="J757" s="221">
        <f>SUM(J758:J762)</f>
        <v>67736000</v>
      </c>
      <c r="K757" s="39">
        <f t="shared" si="66"/>
        <v>0</v>
      </c>
      <c r="L757" s="261">
        <f t="shared" si="68"/>
        <v>67736000</v>
      </c>
      <c r="M757" s="24"/>
    </row>
    <row r="758" spans="1:13" ht="90" customHeight="1" x14ac:dyDescent="0.3">
      <c r="A758" s="67"/>
      <c r="B758" s="68"/>
      <c r="C758" s="20" t="s">
        <v>641</v>
      </c>
      <c r="D758" s="267"/>
      <c r="E758" s="27" t="s">
        <v>23</v>
      </c>
      <c r="F758" s="35">
        <v>42.7</v>
      </c>
      <c r="G758" s="464" t="s">
        <v>1117</v>
      </c>
      <c r="H758" s="464"/>
      <c r="I758" s="465"/>
      <c r="J758" s="227"/>
      <c r="K758" s="39"/>
      <c r="L758" s="261">
        <f t="shared" si="68"/>
        <v>0</v>
      </c>
      <c r="M758" s="14"/>
    </row>
    <row r="759" spans="1:13" ht="61.5" customHeight="1" x14ac:dyDescent="0.3">
      <c r="A759" s="69"/>
      <c r="B759" s="8"/>
      <c r="C759" s="82" t="s">
        <v>843</v>
      </c>
      <c r="D759" s="270" t="s">
        <v>51</v>
      </c>
      <c r="E759" s="27" t="s">
        <v>23</v>
      </c>
      <c r="F759" s="72">
        <f>13.1*5</f>
        <v>65.5</v>
      </c>
      <c r="G759" s="29">
        <v>453000</v>
      </c>
      <c r="H759" s="45">
        <v>0.8</v>
      </c>
      <c r="I759" s="31">
        <v>1.1479999999999999</v>
      </c>
      <c r="J759" s="223">
        <f>ROUND(F759*G759*H759*I759,-3)</f>
        <v>27250000</v>
      </c>
      <c r="K759" s="39">
        <f t="shared" si="66"/>
        <v>27250000</v>
      </c>
      <c r="L759" s="261">
        <f t="shared" si="68"/>
        <v>0</v>
      </c>
      <c r="M759" s="14"/>
    </row>
    <row r="760" spans="1:13" ht="61.5" customHeight="1" x14ac:dyDescent="0.3">
      <c r="A760" s="69"/>
      <c r="B760" s="8"/>
      <c r="C760" s="82" t="s">
        <v>642</v>
      </c>
      <c r="D760" s="271" t="s">
        <v>32</v>
      </c>
      <c r="E760" s="27" t="s">
        <v>23</v>
      </c>
      <c r="F760" s="72">
        <f>13.1*5</f>
        <v>65.5</v>
      </c>
      <c r="G760" s="29">
        <v>284000</v>
      </c>
      <c r="H760" s="45">
        <v>0.8</v>
      </c>
      <c r="I760" s="31">
        <v>1.1479999999999999</v>
      </c>
      <c r="J760" s="223">
        <f>ROUND(F760*G760*H760*I760,-3)</f>
        <v>17084000</v>
      </c>
      <c r="K760" s="39">
        <f t="shared" si="66"/>
        <v>17084000</v>
      </c>
      <c r="L760" s="261">
        <f t="shared" si="68"/>
        <v>0</v>
      </c>
      <c r="M760" s="14"/>
    </row>
    <row r="761" spans="1:13" ht="61.5" customHeight="1" x14ac:dyDescent="0.3">
      <c r="A761" s="69"/>
      <c r="B761" s="8"/>
      <c r="C761" s="82" t="s">
        <v>643</v>
      </c>
      <c r="D761" s="271" t="s">
        <v>32</v>
      </c>
      <c r="E761" s="27" t="s">
        <v>23</v>
      </c>
      <c r="F761" s="72">
        <f>13.1*8</f>
        <v>104.8</v>
      </c>
      <c r="G761" s="29">
        <v>215000</v>
      </c>
      <c r="H761" s="45">
        <v>0.8</v>
      </c>
      <c r="I761" s="31">
        <v>1.1479999999999999</v>
      </c>
      <c r="J761" s="223">
        <f>ROUND(F761*G761*H761*I761,-3)</f>
        <v>20693000</v>
      </c>
      <c r="K761" s="39">
        <f t="shared" si="66"/>
        <v>20693000</v>
      </c>
      <c r="L761" s="261">
        <f t="shared" si="68"/>
        <v>0</v>
      </c>
      <c r="M761" s="14"/>
    </row>
    <row r="762" spans="1:13" ht="61.5" customHeight="1" x14ac:dyDescent="0.3">
      <c r="A762" s="69"/>
      <c r="B762" s="8"/>
      <c r="C762" s="82" t="s">
        <v>644</v>
      </c>
      <c r="D762" s="270" t="s">
        <v>52</v>
      </c>
      <c r="E762" s="27" t="s">
        <v>23</v>
      </c>
      <c r="F762" s="72">
        <f>5*2.5</f>
        <v>12.5</v>
      </c>
      <c r="G762" s="11" t="s">
        <v>53</v>
      </c>
      <c r="H762" s="45">
        <v>0.8</v>
      </c>
      <c r="I762" s="79">
        <v>1.1479999999999999</v>
      </c>
      <c r="J762" s="223">
        <f>ROUND(F762*G762*H762*I762,-3)</f>
        <v>2709000</v>
      </c>
      <c r="K762" s="39">
        <f t="shared" si="66"/>
        <v>2709000</v>
      </c>
      <c r="L762" s="261">
        <f t="shared" si="68"/>
        <v>0</v>
      </c>
      <c r="M762" s="14"/>
    </row>
    <row r="763" spans="1:13" ht="61.5" customHeight="1" x14ac:dyDescent="0.3">
      <c r="A763" s="149">
        <v>50</v>
      </c>
      <c r="B763" s="150" t="s">
        <v>645</v>
      </c>
      <c r="C763" s="455" t="s">
        <v>646</v>
      </c>
      <c r="D763" s="456"/>
      <c r="E763" s="456"/>
      <c r="F763" s="456"/>
      <c r="G763" s="456"/>
      <c r="H763" s="456"/>
      <c r="I763" s="457"/>
      <c r="J763" s="221">
        <f>SUM(J764:J774)</f>
        <v>70923000</v>
      </c>
      <c r="K763" s="39">
        <f t="shared" si="66"/>
        <v>0</v>
      </c>
      <c r="L763" s="261">
        <f t="shared" si="68"/>
        <v>70923000</v>
      </c>
      <c r="M763" s="24"/>
    </row>
    <row r="764" spans="1:13" ht="90" customHeight="1" x14ac:dyDescent="0.3">
      <c r="A764" s="67"/>
      <c r="B764" s="68"/>
      <c r="C764" s="20" t="s">
        <v>647</v>
      </c>
      <c r="D764" s="267"/>
      <c r="E764" s="27" t="s">
        <v>23</v>
      </c>
      <c r="F764" s="35">
        <v>34.5</v>
      </c>
      <c r="G764" s="464" t="s">
        <v>1117</v>
      </c>
      <c r="H764" s="464"/>
      <c r="I764" s="465"/>
      <c r="J764" s="227"/>
      <c r="K764" s="39"/>
      <c r="L764" s="261">
        <f t="shared" si="68"/>
        <v>0</v>
      </c>
      <c r="M764" s="14"/>
    </row>
    <row r="765" spans="1:13" ht="61.5" customHeight="1" x14ac:dyDescent="0.3">
      <c r="A765" s="69"/>
      <c r="B765" s="8"/>
      <c r="C765" s="82" t="s">
        <v>844</v>
      </c>
      <c r="D765" s="270" t="s">
        <v>51</v>
      </c>
      <c r="E765" s="27" t="s">
        <v>23</v>
      </c>
      <c r="F765" s="72">
        <f>4.6*5</f>
        <v>23</v>
      </c>
      <c r="G765" s="29">
        <v>453000</v>
      </c>
      <c r="H765" s="45">
        <v>0.8</v>
      </c>
      <c r="I765" s="31">
        <v>1.1479999999999999</v>
      </c>
      <c r="J765" s="223">
        <f t="shared" ref="J765:J774" si="70">ROUND(F765*G765*H765*I765,-3)</f>
        <v>9569000</v>
      </c>
      <c r="K765" s="39">
        <f t="shared" si="66"/>
        <v>9569000</v>
      </c>
      <c r="L765" s="261">
        <f t="shared" si="68"/>
        <v>0</v>
      </c>
      <c r="M765" s="14"/>
    </row>
    <row r="766" spans="1:13" ht="61.5" customHeight="1" x14ac:dyDescent="0.3">
      <c r="A766" s="69"/>
      <c r="B766" s="8"/>
      <c r="C766" s="82" t="s">
        <v>648</v>
      </c>
      <c r="D766" s="270" t="s">
        <v>101</v>
      </c>
      <c r="E766" s="71" t="s">
        <v>23</v>
      </c>
      <c r="F766" s="75">
        <f>5*3.9</f>
        <v>19.5</v>
      </c>
      <c r="G766" s="29">
        <v>339000</v>
      </c>
      <c r="H766" s="45">
        <v>0.8</v>
      </c>
      <c r="I766" s="31">
        <v>1.1479999999999999</v>
      </c>
      <c r="J766" s="223">
        <f t="shared" si="70"/>
        <v>6071000</v>
      </c>
      <c r="K766" s="39">
        <f t="shared" si="66"/>
        <v>6071000</v>
      </c>
      <c r="L766" s="261">
        <f t="shared" si="68"/>
        <v>0</v>
      </c>
      <c r="M766" s="14"/>
    </row>
    <row r="767" spans="1:13" ht="61.5" customHeight="1" x14ac:dyDescent="0.3">
      <c r="A767" s="69"/>
      <c r="B767" s="8"/>
      <c r="C767" s="82" t="s">
        <v>649</v>
      </c>
      <c r="D767" s="271" t="s">
        <v>54</v>
      </c>
      <c r="E767" s="27" t="s">
        <v>23</v>
      </c>
      <c r="F767" s="72">
        <f>4.2*4.8</f>
        <v>20.16</v>
      </c>
      <c r="G767" s="46">
        <v>213000</v>
      </c>
      <c r="H767" s="45">
        <v>0.8</v>
      </c>
      <c r="I767" s="31">
        <v>1.1479999999999999</v>
      </c>
      <c r="J767" s="223">
        <f t="shared" si="70"/>
        <v>3944000</v>
      </c>
      <c r="K767" s="39">
        <f t="shared" si="66"/>
        <v>3944000</v>
      </c>
      <c r="L767" s="261">
        <f t="shared" si="68"/>
        <v>0</v>
      </c>
      <c r="M767" s="14"/>
    </row>
    <row r="768" spans="1:13" ht="61.5" customHeight="1" x14ac:dyDescent="0.3">
      <c r="A768" s="69"/>
      <c r="B768" s="8"/>
      <c r="C768" s="82" t="s">
        <v>650</v>
      </c>
      <c r="D768" s="267" t="s">
        <v>56</v>
      </c>
      <c r="E768" s="27" t="s">
        <v>23</v>
      </c>
      <c r="F768" s="72">
        <f>4.5*3</f>
        <v>13.5</v>
      </c>
      <c r="G768" s="29">
        <v>735000</v>
      </c>
      <c r="H768" s="45">
        <v>0.8</v>
      </c>
      <c r="I768" s="31">
        <v>1.1479999999999999</v>
      </c>
      <c r="J768" s="223">
        <f t="shared" si="70"/>
        <v>9113000</v>
      </c>
      <c r="K768" s="39">
        <f t="shared" si="66"/>
        <v>9113000</v>
      </c>
      <c r="L768" s="261">
        <f t="shared" si="68"/>
        <v>0</v>
      </c>
      <c r="M768" s="14"/>
    </row>
    <row r="769" spans="1:13" ht="61.5" customHeight="1" x14ac:dyDescent="0.3">
      <c r="A769" s="69"/>
      <c r="B769" s="8"/>
      <c r="C769" s="82" t="s">
        <v>651</v>
      </c>
      <c r="D769" s="270" t="s">
        <v>29</v>
      </c>
      <c r="E769" s="27" t="s">
        <v>23</v>
      </c>
      <c r="F769" s="72">
        <f>1.2*3.7+6.7*3.5+1.4*3.5+3.65*0.2</f>
        <v>33.519999999999996</v>
      </c>
      <c r="G769" s="29">
        <v>792000</v>
      </c>
      <c r="H769" s="45">
        <v>0.8</v>
      </c>
      <c r="I769" s="31">
        <v>1.1479999999999999</v>
      </c>
      <c r="J769" s="223">
        <f t="shared" si="70"/>
        <v>24382000</v>
      </c>
      <c r="K769" s="39">
        <f t="shared" si="66"/>
        <v>24382000</v>
      </c>
      <c r="L769" s="261">
        <f t="shared" si="68"/>
        <v>0</v>
      </c>
      <c r="M769" s="14"/>
    </row>
    <row r="770" spans="1:13" ht="61.5" customHeight="1" x14ac:dyDescent="0.3">
      <c r="A770" s="69"/>
      <c r="B770" s="8"/>
      <c r="C770" s="82" t="s">
        <v>652</v>
      </c>
      <c r="D770" s="272" t="s">
        <v>33</v>
      </c>
      <c r="E770" s="27" t="s">
        <v>23</v>
      </c>
      <c r="F770" s="89">
        <f>2.1*3.7</f>
        <v>7.7700000000000005</v>
      </c>
      <c r="G770" s="29">
        <v>453000</v>
      </c>
      <c r="H770" s="45">
        <v>0.8</v>
      </c>
      <c r="I770" s="31">
        <v>1.1479999999999999</v>
      </c>
      <c r="J770" s="223">
        <f t="shared" si="70"/>
        <v>3233000</v>
      </c>
      <c r="K770" s="39">
        <f t="shared" si="66"/>
        <v>3233000</v>
      </c>
      <c r="L770" s="261">
        <f t="shared" si="68"/>
        <v>0</v>
      </c>
      <c r="M770" s="14"/>
    </row>
    <row r="771" spans="1:13" ht="61.5" customHeight="1" x14ac:dyDescent="0.3">
      <c r="A771" s="69"/>
      <c r="B771" s="8"/>
      <c r="C771" s="82" t="s">
        <v>653</v>
      </c>
      <c r="D771" s="270" t="s">
        <v>31</v>
      </c>
      <c r="E771" s="27" t="s">
        <v>23</v>
      </c>
      <c r="F771" s="75">
        <f>5*8.3</f>
        <v>41.5</v>
      </c>
      <c r="G771" s="29">
        <v>339000</v>
      </c>
      <c r="H771" s="45">
        <v>0.8</v>
      </c>
      <c r="I771" s="31">
        <v>1.1479999999999999</v>
      </c>
      <c r="J771" s="223">
        <f t="shared" si="70"/>
        <v>12921000</v>
      </c>
      <c r="K771" s="39">
        <f t="shared" si="66"/>
        <v>12921000</v>
      </c>
      <c r="L771" s="261">
        <f t="shared" si="68"/>
        <v>0</v>
      </c>
      <c r="M771" s="14"/>
    </row>
    <row r="772" spans="1:13" ht="61.5" customHeight="1" x14ac:dyDescent="0.3">
      <c r="A772" s="69"/>
      <c r="B772" s="8"/>
      <c r="C772" s="82" t="s">
        <v>654</v>
      </c>
      <c r="D772" s="192" t="s">
        <v>58</v>
      </c>
      <c r="E772" s="27" t="s">
        <v>35</v>
      </c>
      <c r="F772" s="98">
        <v>2</v>
      </c>
      <c r="G772" s="49">
        <v>532550</v>
      </c>
      <c r="H772" s="50">
        <v>1</v>
      </c>
      <c r="I772" s="51">
        <v>1</v>
      </c>
      <c r="J772" s="223">
        <f t="shared" si="70"/>
        <v>1065000</v>
      </c>
      <c r="K772" s="39">
        <f t="shared" si="66"/>
        <v>1065000</v>
      </c>
      <c r="L772" s="261">
        <f t="shared" si="68"/>
        <v>0</v>
      </c>
      <c r="M772" s="14"/>
    </row>
    <row r="773" spans="1:13" ht="61.5" customHeight="1" x14ac:dyDescent="0.3">
      <c r="A773" s="69"/>
      <c r="B773" s="8"/>
      <c r="C773" s="82" t="s">
        <v>40</v>
      </c>
      <c r="D773" s="276" t="s">
        <v>41</v>
      </c>
      <c r="E773" s="59" t="s">
        <v>42</v>
      </c>
      <c r="F773" s="98">
        <v>14</v>
      </c>
      <c r="G773" s="11">
        <v>10650</v>
      </c>
      <c r="H773" s="60">
        <v>1</v>
      </c>
      <c r="I773" s="61">
        <v>1</v>
      </c>
      <c r="J773" s="223">
        <f t="shared" si="70"/>
        <v>149000</v>
      </c>
      <c r="K773" s="39">
        <f t="shared" si="66"/>
        <v>149000</v>
      </c>
      <c r="L773" s="261">
        <f t="shared" si="68"/>
        <v>0</v>
      </c>
      <c r="M773" s="14"/>
    </row>
    <row r="774" spans="1:13" ht="61.5" customHeight="1" x14ac:dyDescent="0.3">
      <c r="A774" s="69"/>
      <c r="B774" s="8"/>
      <c r="C774" s="82" t="s">
        <v>655</v>
      </c>
      <c r="D774" s="270" t="s">
        <v>66</v>
      </c>
      <c r="E774" s="27" t="s">
        <v>23</v>
      </c>
      <c r="F774" s="72">
        <f>(5.1*0.15)*2</f>
        <v>1.5299999999999998</v>
      </c>
      <c r="G774" s="29">
        <v>339000</v>
      </c>
      <c r="H774" s="45">
        <v>0.8</v>
      </c>
      <c r="I774" s="79">
        <v>1.1479999999999999</v>
      </c>
      <c r="J774" s="223">
        <f t="shared" si="70"/>
        <v>476000</v>
      </c>
      <c r="K774" s="39">
        <f t="shared" si="66"/>
        <v>476000</v>
      </c>
      <c r="L774" s="261">
        <f t="shared" si="68"/>
        <v>0</v>
      </c>
      <c r="M774" s="14"/>
    </row>
    <row r="775" spans="1:13" ht="61.5" customHeight="1" x14ac:dyDescent="0.3">
      <c r="A775" s="149">
        <v>51</v>
      </c>
      <c r="B775" s="150" t="s">
        <v>656</v>
      </c>
      <c r="C775" s="455" t="s">
        <v>657</v>
      </c>
      <c r="D775" s="456"/>
      <c r="E775" s="456"/>
      <c r="F775" s="456"/>
      <c r="G775" s="456"/>
      <c r="H775" s="456"/>
      <c r="I775" s="457"/>
      <c r="J775" s="221">
        <f>SUM(J776:J781)</f>
        <v>24086000</v>
      </c>
      <c r="K775" s="39">
        <f t="shared" ref="K775:K838" si="71">ROUND(F775*G775*H775*I775,-3)</f>
        <v>0</v>
      </c>
      <c r="L775" s="261">
        <f t="shared" si="68"/>
        <v>24086000</v>
      </c>
      <c r="M775" s="24"/>
    </row>
    <row r="776" spans="1:13" ht="90" customHeight="1" x14ac:dyDescent="0.3">
      <c r="A776" s="67"/>
      <c r="B776" s="68"/>
      <c r="C776" s="20" t="s">
        <v>658</v>
      </c>
      <c r="D776" s="267"/>
      <c r="E776" s="27" t="s">
        <v>23</v>
      </c>
      <c r="F776" s="35">
        <v>19.7</v>
      </c>
      <c r="G776" s="464" t="s">
        <v>1117</v>
      </c>
      <c r="H776" s="464"/>
      <c r="I776" s="465"/>
      <c r="J776" s="227"/>
      <c r="K776" s="39"/>
      <c r="L776" s="261">
        <f t="shared" si="68"/>
        <v>0</v>
      </c>
      <c r="M776" s="14"/>
    </row>
    <row r="777" spans="1:13" ht="61.5" customHeight="1" x14ac:dyDescent="0.3">
      <c r="A777" s="69"/>
      <c r="B777" s="8"/>
      <c r="C777" s="82" t="s">
        <v>845</v>
      </c>
      <c r="D777" s="270" t="s">
        <v>51</v>
      </c>
      <c r="E777" s="27" t="s">
        <v>23</v>
      </c>
      <c r="F777" s="72">
        <f>4.3*5.1</f>
        <v>21.929999999999996</v>
      </c>
      <c r="G777" s="29">
        <v>453000</v>
      </c>
      <c r="H777" s="45">
        <v>0.8</v>
      </c>
      <c r="I777" s="31">
        <v>1.1479999999999999</v>
      </c>
      <c r="J777" s="223">
        <f>ROUND(F777*G777*H777*I777,-3)</f>
        <v>9124000</v>
      </c>
      <c r="K777" s="39">
        <f t="shared" si="71"/>
        <v>9124000</v>
      </c>
      <c r="L777" s="261">
        <f t="shared" si="68"/>
        <v>0</v>
      </c>
      <c r="M777" s="14"/>
    </row>
    <row r="778" spans="1:13" ht="61.5" customHeight="1" x14ac:dyDescent="0.3">
      <c r="A778" s="69"/>
      <c r="B778" s="8"/>
      <c r="C778" s="82" t="s">
        <v>659</v>
      </c>
      <c r="D778" s="271" t="s">
        <v>32</v>
      </c>
      <c r="E778" s="27" t="s">
        <v>23</v>
      </c>
      <c r="F778" s="72">
        <f>5*4.3</f>
        <v>21.5</v>
      </c>
      <c r="G778" s="29">
        <v>215000</v>
      </c>
      <c r="H778" s="45">
        <v>0.8</v>
      </c>
      <c r="I778" s="31">
        <v>1.1479999999999999</v>
      </c>
      <c r="J778" s="223">
        <f>ROUND(F778*G778*H778*I778,-3)</f>
        <v>4245000</v>
      </c>
      <c r="K778" s="39">
        <f t="shared" si="71"/>
        <v>4245000</v>
      </c>
      <c r="L778" s="261">
        <f t="shared" si="68"/>
        <v>0</v>
      </c>
      <c r="M778" s="14"/>
    </row>
    <row r="779" spans="1:13" ht="61.5" customHeight="1" x14ac:dyDescent="0.3">
      <c r="A779" s="69"/>
      <c r="B779" s="8"/>
      <c r="C779" s="82" t="s">
        <v>660</v>
      </c>
      <c r="D779" s="271" t="s">
        <v>32</v>
      </c>
      <c r="E779" s="27" t="s">
        <v>23</v>
      </c>
      <c r="F779" s="72">
        <f>8.3*5</f>
        <v>41.5</v>
      </c>
      <c r="G779" s="29">
        <v>215000</v>
      </c>
      <c r="H779" s="45">
        <v>0.8</v>
      </c>
      <c r="I779" s="31">
        <v>1.1479999999999999</v>
      </c>
      <c r="J779" s="223">
        <f>ROUND(F779*G779*H779*I779,-3)</f>
        <v>8194000</v>
      </c>
      <c r="K779" s="39">
        <f t="shared" si="71"/>
        <v>8194000</v>
      </c>
      <c r="L779" s="261">
        <f t="shared" si="68"/>
        <v>0</v>
      </c>
      <c r="M779" s="14"/>
    </row>
    <row r="780" spans="1:13" ht="61.5" customHeight="1" x14ac:dyDescent="0.3">
      <c r="A780" s="69"/>
      <c r="B780" s="8"/>
      <c r="C780" s="82" t="s">
        <v>661</v>
      </c>
      <c r="D780" s="270" t="s">
        <v>55</v>
      </c>
      <c r="E780" s="27" t="s">
        <v>23</v>
      </c>
      <c r="F780" s="72">
        <f>0.6*0.8</f>
        <v>0.48</v>
      </c>
      <c r="G780" s="29">
        <v>905000</v>
      </c>
      <c r="H780" s="45">
        <v>0.8</v>
      </c>
      <c r="I780" s="79">
        <v>1.1479999999999999</v>
      </c>
      <c r="J780" s="223">
        <f>ROUND(F780*G780*H780*I780,-3)</f>
        <v>399000</v>
      </c>
      <c r="K780" s="39">
        <f t="shared" si="71"/>
        <v>399000</v>
      </c>
      <c r="L780" s="261">
        <f t="shared" si="68"/>
        <v>0</v>
      </c>
      <c r="M780" s="14"/>
    </row>
    <row r="781" spans="1:13" ht="61.5" customHeight="1" x14ac:dyDescent="0.3">
      <c r="A781" s="69"/>
      <c r="B781" s="8"/>
      <c r="C781" s="82" t="s">
        <v>662</v>
      </c>
      <c r="D781" s="270" t="s">
        <v>52</v>
      </c>
      <c r="E781" s="27" t="s">
        <v>23</v>
      </c>
      <c r="F781" s="72">
        <f>4.9*2</f>
        <v>9.8000000000000007</v>
      </c>
      <c r="G781" s="11" t="s">
        <v>53</v>
      </c>
      <c r="H781" s="45">
        <v>0.8</v>
      </c>
      <c r="I781" s="79">
        <v>1.1479999999999999</v>
      </c>
      <c r="J781" s="223">
        <f>ROUND(F781*G781*H781*I781,-3)</f>
        <v>2124000</v>
      </c>
      <c r="K781" s="39">
        <f t="shared" si="71"/>
        <v>2124000</v>
      </c>
      <c r="L781" s="261">
        <f t="shared" si="68"/>
        <v>0</v>
      </c>
      <c r="M781" s="14"/>
    </row>
    <row r="782" spans="1:13" ht="61.5" customHeight="1" x14ac:dyDescent="0.3">
      <c r="A782" s="149">
        <v>52</v>
      </c>
      <c r="B782" s="109" t="s">
        <v>663</v>
      </c>
      <c r="C782" s="455" t="s">
        <v>664</v>
      </c>
      <c r="D782" s="456"/>
      <c r="E782" s="456"/>
      <c r="F782" s="456"/>
      <c r="G782" s="456"/>
      <c r="H782" s="456"/>
      <c r="I782" s="457"/>
      <c r="J782" s="221">
        <f>SUM(J783:J789)</f>
        <v>65353000</v>
      </c>
      <c r="K782" s="39">
        <f t="shared" si="71"/>
        <v>0</v>
      </c>
      <c r="L782" s="261">
        <f t="shared" si="68"/>
        <v>65353000</v>
      </c>
      <c r="M782" s="24"/>
    </row>
    <row r="783" spans="1:13" ht="90" customHeight="1" x14ac:dyDescent="0.3">
      <c r="A783" s="67"/>
      <c r="B783" s="68"/>
      <c r="C783" s="20" t="s">
        <v>665</v>
      </c>
      <c r="D783" s="267"/>
      <c r="E783" s="27" t="s">
        <v>23</v>
      </c>
      <c r="F783" s="35">
        <v>32.1</v>
      </c>
      <c r="G783" s="464" t="s">
        <v>1042</v>
      </c>
      <c r="H783" s="464"/>
      <c r="I783" s="465"/>
      <c r="J783" s="227"/>
      <c r="K783" s="39"/>
      <c r="L783" s="261">
        <f t="shared" si="68"/>
        <v>0</v>
      </c>
      <c r="M783" s="14"/>
    </row>
    <row r="784" spans="1:13" ht="61.5" customHeight="1" x14ac:dyDescent="0.3">
      <c r="A784" s="69"/>
      <c r="B784" s="8"/>
      <c r="C784" s="82" t="s">
        <v>846</v>
      </c>
      <c r="D784" s="270" t="s">
        <v>51</v>
      </c>
      <c r="E784" s="27" t="s">
        <v>23</v>
      </c>
      <c r="F784" s="72">
        <f>9.6*3.4</f>
        <v>32.64</v>
      </c>
      <c r="G784" s="29">
        <v>453000</v>
      </c>
      <c r="H784" s="45">
        <v>0.8</v>
      </c>
      <c r="I784" s="31">
        <v>1.1479999999999999</v>
      </c>
      <c r="J784" s="223">
        <f t="shared" ref="J784:J789" si="72">ROUND(F784*G784*H784*I784,-3)</f>
        <v>13579000</v>
      </c>
      <c r="K784" s="39">
        <f t="shared" si="71"/>
        <v>13579000</v>
      </c>
      <c r="L784" s="261">
        <f t="shared" si="68"/>
        <v>0</v>
      </c>
      <c r="M784" s="14"/>
    </row>
    <row r="785" spans="1:13" ht="61.5" customHeight="1" x14ac:dyDescent="0.3">
      <c r="A785" s="69"/>
      <c r="B785" s="8"/>
      <c r="C785" s="82" t="s">
        <v>666</v>
      </c>
      <c r="D785" s="267" t="s">
        <v>56</v>
      </c>
      <c r="E785" s="27" t="s">
        <v>23</v>
      </c>
      <c r="F785" s="72">
        <f>4.75*4+3.4*4</f>
        <v>32.6</v>
      </c>
      <c r="G785" s="173">
        <v>735000</v>
      </c>
      <c r="H785" s="45">
        <v>0.8</v>
      </c>
      <c r="I785" s="159">
        <v>1.1479999999999999</v>
      </c>
      <c r="J785" s="224">
        <f t="shared" si="72"/>
        <v>22006000</v>
      </c>
      <c r="K785" s="39">
        <f t="shared" si="71"/>
        <v>22006000</v>
      </c>
      <c r="L785" s="261">
        <f t="shared" si="68"/>
        <v>0</v>
      </c>
      <c r="M785" s="14"/>
    </row>
    <row r="786" spans="1:13" ht="61.5" customHeight="1" x14ac:dyDescent="0.3">
      <c r="A786" s="69"/>
      <c r="B786" s="8"/>
      <c r="C786" s="82" t="s">
        <v>667</v>
      </c>
      <c r="D786" s="270" t="s">
        <v>52</v>
      </c>
      <c r="E786" s="27" t="s">
        <v>23</v>
      </c>
      <c r="F786" s="72">
        <f>(3.4*4)*2</f>
        <v>27.2</v>
      </c>
      <c r="G786" s="11" t="s">
        <v>53</v>
      </c>
      <c r="H786" s="45">
        <v>0.8</v>
      </c>
      <c r="I786" s="79">
        <v>1.1479999999999999</v>
      </c>
      <c r="J786" s="223">
        <f t="shared" si="72"/>
        <v>5895000</v>
      </c>
      <c r="K786" s="39">
        <f t="shared" si="71"/>
        <v>5895000</v>
      </c>
      <c r="L786" s="261">
        <f t="shared" si="68"/>
        <v>0</v>
      </c>
      <c r="M786" s="14"/>
    </row>
    <row r="787" spans="1:13" ht="61.5" customHeight="1" x14ac:dyDescent="0.3">
      <c r="A787" s="69"/>
      <c r="B787" s="8"/>
      <c r="C787" s="82" t="s">
        <v>668</v>
      </c>
      <c r="D787" s="270" t="s">
        <v>66</v>
      </c>
      <c r="E787" s="27" t="s">
        <v>23</v>
      </c>
      <c r="F787" s="75">
        <f>3.4*3.4</f>
        <v>11.559999999999999</v>
      </c>
      <c r="G787" s="29">
        <v>339000</v>
      </c>
      <c r="H787" s="45">
        <v>0.8</v>
      </c>
      <c r="I787" s="79">
        <v>1.1479999999999999</v>
      </c>
      <c r="J787" s="223">
        <f t="shared" si="72"/>
        <v>3599000</v>
      </c>
      <c r="K787" s="39">
        <f t="shared" si="71"/>
        <v>3599000</v>
      </c>
      <c r="L787" s="261">
        <f t="shared" si="68"/>
        <v>0</v>
      </c>
      <c r="M787" s="14"/>
    </row>
    <row r="788" spans="1:13" ht="61.5" customHeight="1" x14ac:dyDescent="0.3">
      <c r="A788" s="69"/>
      <c r="B788" s="8"/>
      <c r="C788" s="82" t="s">
        <v>669</v>
      </c>
      <c r="D788" s="271" t="s">
        <v>32</v>
      </c>
      <c r="E788" s="27" t="s">
        <v>23</v>
      </c>
      <c r="F788" s="72">
        <f>6.2*3.4</f>
        <v>21.08</v>
      </c>
      <c r="G788" s="29">
        <v>215000</v>
      </c>
      <c r="H788" s="45">
        <v>0.8</v>
      </c>
      <c r="I788" s="31">
        <v>1.1479999999999999</v>
      </c>
      <c r="J788" s="223">
        <f t="shared" si="72"/>
        <v>4162000</v>
      </c>
      <c r="K788" s="39">
        <f t="shared" si="71"/>
        <v>4162000</v>
      </c>
      <c r="L788" s="261">
        <f t="shared" si="68"/>
        <v>0</v>
      </c>
      <c r="M788" s="14"/>
    </row>
    <row r="789" spans="1:13" ht="61.5" customHeight="1" x14ac:dyDescent="0.3">
      <c r="A789" s="69"/>
      <c r="B789" s="8"/>
      <c r="C789" s="82" t="s">
        <v>670</v>
      </c>
      <c r="D789" s="271" t="s">
        <v>32</v>
      </c>
      <c r="E789" s="27" t="s">
        <v>23</v>
      </c>
      <c r="F789" s="72">
        <f>9.6*8.5</f>
        <v>81.599999999999994</v>
      </c>
      <c r="G789" s="29">
        <v>215000</v>
      </c>
      <c r="H789" s="45">
        <v>0.8</v>
      </c>
      <c r="I789" s="31">
        <v>1.1479999999999999</v>
      </c>
      <c r="J789" s="223">
        <f t="shared" si="72"/>
        <v>16112000</v>
      </c>
      <c r="K789" s="39">
        <f t="shared" si="71"/>
        <v>16112000</v>
      </c>
      <c r="L789" s="261">
        <f t="shared" si="68"/>
        <v>0</v>
      </c>
      <c r="M789" s="14"/>
    </row>
    <row r="790" spans="1:13" ht="61.5" customHeight="1" x14ac:dyDescent="0.3">
      <c r="A790" s="149">
        <v>53</v>
      </c>
      <c r="B790" s="109" t="s">
        <v>671</v>
      </c>
      <c r="C790" s="455" t="s">
        <v>672</v>
      </c>
      <c r="D790" s="456"/>
      <c r="E790" s="456"/>
      <c r="F790" s="456"/>
      <c r="G790" s="456"/>
      <c r="H790" s="456"/>
      <c r="I790" s="457"/>
      <c r="J790" s="221">
        <f>SUM(J791:J795)</f>
        <v>72029000</v>
      </c>
      <c r="K790" s="39">
        <f t="shared" si="71"/>
        <v>0</v>
      </c>
      <c r="L790" s="261">
        <f t="shared" si="68"/>
        <v>72029000</v>
      </c>
      <c r="M790" s="24"/>
    </row>
    <row r="791" spans="1:13" ht="90" customHeight="1" x14ac:dyDescent="0.3">
      <c r="A791" s="67"/>
      <c r="B791" s="68"/>
      <c r="C791" s="20" t="s">
        <v>673</v>
      </c>
      <c r="D791" s="267"/>
      <c r="E791" s="27" t="s">
        <v>23</v>
      </c>
      <c r="F791" s="35">
        <v>88.1</v>
      </c>
      <c r="G791" s="464" t="s">
        <v>1042</v>
      </c>
      <c r="H791" s="464"/>
      <c r="I791" s="465"/>
      <c r="J791" s="227"/>
      <c r="K791" s="39"/>
      <c r="L791" s="261">
        <f t="shared" si="68"/>
        <v>0</v>
      </c>
      <c r="M791" s="14"/>
    </row>
    <row r="792" spans="1:13" ht="61.5" customHeight="1" x14ac:dyDescent="0.3">
      <c r="A792" s="69"/>
      <c r="B792" s="8"/>
      <c r="C792" s="82" t="s">
        <v>674</v>
      </c>
      <c r="D792" s="271" t="s">
        <v>32</v>
      </c>
      <c r="E792" s="27" t="s">
        <v>23</v>
      </c>
      <c r="F792" s="72">
        <f>27*13</f>
        <v>351</v>
      </c>
      <c r="G792" s="29">
        <v>215000</v>
      </c>
      <c r="H792" s="45">
        <v>0.8</v>
      </c>
      <c r="I792" s="31">
        <v>1.1479999999999999</v>
      </c>
      <c r="J792" s="223">
        <f>ROUND(F792*G792*H792*I792,-3)</f>
        <v>69307000</v>
      </c>
      <c r="K792" s="39">
        <f t="shared" si="71"/>
        <v>69307000</v>
      </c>
      <c r="L792" s="261">
        <f t="shared" si="68"/>
        <v>0</v>
      </c>
      <c r="M792" s="14"/>
    </row>
    <row r="793" spans="1:13" ht="61.5" customHeight="1" x14ac:dyDescent="0.3">
      <c r="A793" s="69"/>
      <c r="B793" s="8"/>
      <c r="C793" s="82" t="s">
        <v>675</v>
      </c>
      <c r="D793" s="270" t="s">
        <v>52</v>
      </c>
      <c r="E793" s="27" t="s">
        <v>23</v>
      </c>
      <c r="F793" s="72">
        <f>3*2</f>
        <v>6</v>
      </c>
      <c r="G793" s="11" t="s">
        <v>53</v>
      </c>
      <c r="H793" s="45">
        <v>0.8</v>
      </c>
      <c r="I793" s="79">
        <v>1.1479999999999999</v>
      </c>
      <c r="J793" s="223">
        <f>ROUND(F793*G793*H793*I793,-3)</f>
        <v>1300000</v>
      </c>
      <c r="K793" s="39">
        <f t="shared" si="71"/>
        <v>1300000</v>
      </c>
      <c r="L793" s="261">
        <f t="shared" si="68"/>
        <v>0</v>
      </c>
      <c r="M793" s="14"/>
    </row>
    <row r="794" spans="1:13" ht="61.5" customHeight="1" x14ac:dyDescent="0.3">
      <c r="A794" s="69"/>
      <c r="B794" s="8"/>
      <c r="C794" s="82" t="s">
        <v>676</v>
      </c>
      <c r="D794" s="270" t="s">
        <v>55</v>
      </c>
      <c r="E794" s="27" t="s">
        <v>23</v>
      </c>
      <c r="F794" s="72">
        <f>0.5*0.5+0.5*1</f>
        <v>0.75</v>
      </c>
      <c r="G794" s="29">
        <v>905000</v>
      </c>
      <c r="H794" s="45">
        <v>0.8</v>
      </c>
      <c r="I794" s="79">
        <v>1.1479999999999999</v>
      </c>
      <c r="J794" s="223">
        <f>ROUND(F794*G794*H794*I794,-3)</f>
        <v>623000</v>
      </c>
      <c r="K794" s="39">
        <f t="shared" si="71"/>
        <v>623000</v>
      </c>
      <c r="L794" s="261">
        <f t="shared" si="68"/>
        <v>0</v>
      </c>
      <c r="M794" s="14"/>
    </row>
    <row r="795" spans="1:13" ht="61.5" customHeight="1" x14ac:dyDescent="0.3">
      <c r="A795" s="69"/>
      <c r="B795" s="8"/>
      <c r="C795" s="82" t="s">
        <v>677</v>
      </c>
      <c r="D795" s="284" t="s">
        <v>58</v>
      </c>
      <c r="E795" s="27" t="s">
        <v>35</v>
      </c>
      <c r="F795" s="76">
        <v>3</v>
      </c>
      <c r="G795" s="29">
        <v>266280</v>
      </c>
      <c r="H795" s="50">
        <v>1</v>
      </c>
      <c r="I795" s="51">
        <v>1</v>
      </c>
      <c r="J795" s="224">
        <f>ROUND(F795*G795*H795*I795,-3)</f>
        <v>799000</v>
      </c>
      <c r="K795" s="39">
        <f t="shared" si="71"/>
        <v>799000</v>
      </c>
      <c r="L795" s="261">
        <f t="shared" ref="L795:L801" si="73">J795-K795</f>
        <v>0</v>
      </c>
      <c r="M795" s="14"/>
    </row>
    <row r="796" spans="1:13" ht="61.5" customHeight="1" x14ac:dyDescent="0.3">
      <c r="A796" s="149">
        <v>54</v>
      </c>
      <c r="B796" s="150" t="s">
        <v>213</v>
      </c>
      <c r="C796" s="455" t="s">
        <v>214</v>
      </c>
      <c r="D796" s="456"/>
      <c r="E796" s="456"/>
      <c r="F796" s="456"/>
      <c r="G796" s="456"/>
      <c r="H796" s="456"/>
      <c r="I796" s="457"/>
      <c r="J796" s="221">
        <f>SUM(J797:J812)</f>
        <v>154806000</v>
      </c>
      <c r="K796" s="39">
        <f t="shared" si="71"/>
        <v>0</v>
      </c>
      <c r="L796" s="261">
        <f t="shared" si="73"/>
        <v>154806000</v>
      </c>
      <c r="M796" s="24"/>
    </row>
    <row r="797" spans="1:13" ht="90" customHeight="1" x14ac:dyDescent="0.3">
      <c r="A797" s="67"/>
      <c r="B797" s="68"/>
      <c r="C797" s="20" t="s">
        <v>215</v>
      </c>
      <c r="D797" s="26"/>
      <c r="E797" s="27" t="s">
        <v>23</v>
      </c>
      <c r="F797" s="35">
        <v>47.9</v>
      </c>
      <c r="G797" s="464" t="s">
        <v>1152</v>
      </c>
      <c r="H797" s="464"/>
      <c r="I797" s="465"/>
      <c r="J797" s="227"/>
      <c r="K797" s="39"/>
      <c r="L797" s="261">
        <f t="shared" si="73"/>
        <v>0</v>
      </c>
      <c r="M797" s="14"/>
    </row>
    <row r="798" spans="1:13" ht="81.75" customHeight="1" x14ac:dyDescent="0.3">
      <c r="A798" s="69"/>
      <c r="B798" s="8"/>
      <c r="C798" s="82" t="s">
        <v>216</v>
      </c>
      <c r="D798" s="81" t="s">
        <v>113</v>
      </c>
      <c r="E798" s="27" t="s">
        <v>23</v>
      </c>
      <c r="F798" s="75">
        <f>3.8*5.9</f>
        <v>22.42</v>
      </c>
      <c r="G798" s="29">
        <v>3224000</v>
      </c>
      <c r="H798" s="101">
        <v>0.8</v>
      </c>
      <c r="I798" s="102">
        <v>1.1479999999999999</v>
      </c>
      <c r="J798" s="223">
        <f t="shared" ref="J798:J812" si="74">ROUND(F798*G798*H798*I798,-3)</f>
        <v>66384000</v>
      </c>
      <c r="K798" s="39">
        <f t="shared" si="71"/>
        <v>66384000</v>
      </c>
      <c r="L798" s="261">
        <f t="shared" si="73"/>
        <v>0</v>
      </c>
      <c r="M798" s="14"/>
    </row>
    <row r="799" spans="1:13" ht="61.5" customHeight="1" x14ac:dyDescent="0.3">
      <c r="A799" s="69"/>
      <c r="B799" s="8"/>
      <c r="C799" s="82" t="s">
        <v>217</v>
      </c>
      <c r="D799" s="42" t="s">
        <v>32</v>
      </c>
      <c r="E799" s="27" t="s">
        <v>23</v>
      </c>
      <c r="F799" s="72">
        <f>5.9*4.7</f>
        <v>27.730000000000004</v>
      </c>
      <c r="G799" s="29">
        <v>215000</v>
      </c>
      <c r="H799" s="43">
        <v>0.8</v>
      </c>
      <c r="I799" s="31">
        <v>1.1479999999999999</v>
      </c>
      <c r="J799" s="223">
        <f t="shared" si="74"/>
        <v>5475000</v>
      </c>
      <c r="K799" s="39">
        <f t="shared" si="71"/>
        <v>5475000</v>
      </c>
      <c r="L799" s="261">
        <f t="shared" si="73"/>
        <v>0</v>
      </c>
      <c r="M799" s="14"/>
    </row>
    <row r="800" spans="1:13" ht="61.5" customHeight="1" x14ac:dyDescent="0.3">
      <c r="A800" s="69"/>
      <c r="B800" s="8"/>
      <c r="C800" s="82" t="s">
        <v>218</v>
      </c>
      <c r="D800" s="42" t="s">
        <v>32</v>
      </c>
      <c r="E800" s="27" t="s">
        <v>23</v>
      </c>
      <c r="F800" s="72">
        <f>5*5.7</f>
        <v>28.5</v>
      </c>
      <c r="G800" s="29">
        <v>215000</v>
      </c>
      <c r="H800" s="43">
        <v>0.8</v>
      </c>
      <c r="I800" s="31">
        <v>1.1479999999999999</v>
      </c>
      <c r="J800" s="223">
        <f t="shared" si="74"/>
        <v>5627000</v>
      </c>
      <c r="K800" s="39">
        <f t="shared" si="71"/>
        <v>5627000</v>
      </c>
      <c r="L800" s="261">
        <f t="shared" si="73"/>
        <v>0</v>
      </c>
      <c r="M800" s="14"/>
    </row>
    <row r="801" spans="1:13" ht="61.5" customHeight="1" x14ac:dyDescent="0.3">
      <c r="A801" s="69"/>
      <c r="B801" s="8"/>
      <c r="C801" s="82" t="s">
        <v>219</v>
      </c>
      <c r="D801" s="26" t="s">
        <v>26</v>
      </c>
      <c r="E801" s="27" t="s">
        <v>23</v>
      </c>
      <c r="F801" s="89">
        <f>5.1*3</f>
        <v>15.299999999999999</v>
      </c>
      <c r="G801" s="29">
        <v>679000</v>
      </c>
      <c r="H801" s="45">
        <v>0.8</v>
      </c>
      <c r="I801" s="31">
        <v>1.1479999999999999</v>
      </c>
      <c r="J801" s="223">
        <f t="shared" si="74"/>
        <v>9541000</v>
      </c>
      <c r="K801" s="39">
        <f t="shared" si="71"/>
        <v>9541000</v>
      </c>
      <c r="L801" s="261">
        <f t="shared" si="73"/>
        <v>0</v>
      </c>
      <c r="M801" s="14"/>
    </row>
    <row r="802" spans="1:13" ht="61.5" customHeight="1" x14ac:dyDescent="0.3">
      <c r="A802" s="69"/>
      <c r="B802" s="8"/>
      <c r="C802" s="82" t="s">
        <v>220</v>
      </c>
      <c r="D802" s="44" t="s">
        <v>33</v>
      </c>
      <c r="E802" s="27" t="s">
        <v>23</v>
      </c>
      <c r="F802" s="89">
        <f>5.1*1.4+(1.6*0.8)*2</f>
        <v>9.6999999999999993</v>
      </c>
      <c r="G802" s="29">
        <v>453000</v>
      </c>
      <c r="H802" s="45">
        <v>0.8</v>
      </c>
      <c r="I802" s="31">
        <v>1.1479999999999999</v>
      </c>
      <c r="J802" s="223">
        <f t="shared" si="74"/>
        <v>4036000</v>
      </c>
      <c r="K802" s="39">
        <f t="shared" si="71"/>
        <v>4036000</v>
      </c>
      <c r="L802" s="261"/>
      <c r="M802" s="14"/>
    </row>
    <row r="803" spans="1:13" ht="61.5" customHeight="1" x14ac:dyDescent="0.3">
      <c r="A803" s="69"/>
      <c r="B803" s="8"/>
      <c r="C803" s="82" t="s">
        <v>221</v>
      </c>
      <c r="D803" s="42" t="s">
        <v>54</v>
      </c>
      <c r="E803" s="27" t="s">
        <v>23</v>
      </c>
      <c r="F803" s="72">
        <f>(1.6*0.8)*2+0.8*5.9</f>
        <v>7.2800000000000011</v>
      </c>
      <c r="G803" s="46">
        <v>213000</v>
      </c>
      <c r="H803" s="52">
        <v>0.8</v>
      </c>
      <c r="I803" s="57">
        <v>1.1479999999999999</v>
      </c>
      <c r="J803" s="223">
        <f t="shared" si="74"/>
        <v>1424000</v>
      </c>
      <c r="K803" s="39">
        <f t="shared" si="71"/>
        <v>1424000</v>
      </c>
      <c r="L803" s="262">
        <f t="shared" ref="L803:L815" si="75">J803-K803</f>
        <v>0</v>
      </c>
      <c r="M803" s="14"/>
    </row>
    <row r="804" spans="1:13" ht="61.5" customHeight="1" x14ac:dyDescent="0.3">
      <c r="A804" s="69"/>
      <c r="B804" s="8"/>
      <c r="C804" s="82" t="s">
        <v>222</v>
      </c>
      <c r="D804" s="34" t="s">
        <v>52</v>
      </c>
      <c r="E804" s="27" t="s">
        <v>23</v>
      </c>
      <c r="F804" s="72">
        <f>0.5*5.1+(3.2*4.5)*2</f>
        <v>31.35</v>
      </c>
      <c r="G804" s="11" t="s">
        <v>53</v>
      </c>
      <c r="H804" s="37">
        <v>0.8</v>
      </c>
      <c r="I804" s="79">
        <v>1.1479999999999999</v>
      </c>
      <c r="J804" s="223">
        <f t="shared" si="74"/>
        <v>6795000</v>
      </c>
      <c r="K804" s="39">
        <f t="shared" si="71"/>
        <v>6795000</v>
      </c>
      <c r="L804" s="261">
        <f t="shared" si="75"/>
        <v>0</v>
      </c>
      <c r="M804" s="14"/>
    </row>
    <row r="805" spans="1:13" ht="61.5" customHeight="1" x14ac:dyDescent="0.3">
      <c r="A805" s="69"/>
      <c r="B805" s="8"/>
      <c r="C805" s="143" t="s">
        <v>223</v>
      </c>
      <c r="D805" s="34" t="s">
        <v>29</v>
      </c>
      <c r="E805" s="27" t="s">
        <v>23</v>
      </c>
      <c r="F805" s="28">
        <f>(4.5*1.7)*2</f>
        <v>15.299999999999999</v>
      </c>
      <c r="G805" s="29">
        <v>792000</v>
      </c>
      <c r="H805" s="37">
        <v>0.8</v>
      </c>
      <c r="I805" s="31">
        <v>1.1479999999999999</v>
      </c>
      <c r="J805" s="223">
        <f t="shared" si="74"/>
        <v>11129000</v>
      </c>
      <c r="K805" s="39">
        <f t="shared" si="71"/>
        <v>11129000</v>
      </c>
      <c r="L805" s="261">
        <f t="shared" si="75"/>
        <v>0</v>
      </c>
      <c r="M805" s="14"/>
    </row>
    <row r="806" spans="1:13" ht="61.5" customHeight="1" x14ac:dyDescent="0.3">
      <c r="A806" s="104"/>
      <c r="B806" s="105"/>
      <c r="C806" s="113" t="s">
        <v>224</v>
      </c>
      <c r="D806" s="42" t="s">
        <v>225</v>
      </c>
      <c r="E806" s="96" t="s">
        <v>91</v>
      </c>
      <c r="F806" s="123">
        <f>(1.5*4.5)*2</f>
        <v>13.5</v>
      </c>
      <c r="G806" s="29">
        <v>527000</v>
      </c>
      <c r="H806" s="50">
        <v>0.8</v>
      </c>
      <c r="I806" s="151">
        <v>1.1479999999999999</v>
      </c>
      <c r="J806" s="223">
        <f t="shared" si="74"/>
        <v>6534000</v>
      </c>
      <c r="K806" s="39">
        <f t="shared" si="71"/>
        <v>6534000</v>
      </c>
      <c r="L806" s="261">
        <f t="shared" si="75"/>
        <v>0</v>
      </c>
      <c r="M806" s="14"/>
    </row>
    <row r="807" spans="1:13" ht="61.5" customHeight="1" x14ac:dyDescent="0.3">
      <c r="A807" s="69"/>
      <c r="B807" s="8"/>
      <c r="C807" s="82" t="s">
        <v>226</v>
      </c>
      <c r="D807" s="9" t="s">
        <v>88</v>
      </c>
      <c r="E807" s="8" t="s">
        <v>25</v>
      </c>
      <c r="F807" s="91">
        <f>(0.3*0.5*3)*2</f>
        <v>0.89999999999999991</v>
      </c>
      <c r="G807" s="11">
        <v>2828000</v>
      </c>
      <c r="H807" s="37">
        <v>0.8</v>
      </c>
      <c r="I807" s="31">
        <v>1.1479999999999999</v>
      </c>
      <c r="J807" s="223">
        <f t="shared" si="74"/>
        <v>2338000</v>
      </c>
      <c r="K807" s="39">
        <f t="shared" si="71"/>
        <v>2338000</v>
      </c>
      <c r="L807" s="261">
        <f t="shared" si="75"/>
        <v>0</v>
      </c>
      <c r="M807" s="14"/>
    </row>
    <row r="808" spans="1:13" ht="61.5" customHeight="1" x14ac:dyDescent="0.3">
      <c r="A808" s="69"/>
      <c r="B808" s="8"/>
      <c r="C808" s="82" t="s">
        <v>227</v>
      </c>
      <c r="D808" s="44" t="s">
        <v>33</v>
      </c>
      <c r="E808" s="27" t="s">
        <v>23</v>
      </c>
      <c r="F808" s="89">
        <f>5.7*2.25</f>
        <v>12.825000000000001</v>
      </c>
      <c r="G808" s="29">
        <v>453000</v>
      </c>
      <c r="H808" s="45">
        <v>0.8</v>
      </c>
      <c r="I808" s="31">
        <v>1.1479999999999999</v>
      </c>
      <c r="J808" s="223">
        <f t="shared" si="74"/>
        <v>5336000</v>
      </c>
      <c r="K808" s="39">
        <f t="shared" si="71"/>
        <v>5336000</v>
      </c>
      <c r="L808" s="261">
        <f t="shared" si="75"/>
        <v>0</v>
      </c>
      <c r="M808" s="14"/>
    </row>
    <row r="809" spans="1:13" ht="61.5" customHeight="1" x14ac:dyDescent="0.3">
      <c r="A809" s="69"/>
      <c r="B809" s="8"/>
      <c r="C809" s="82" t="s">
        <v>228</v>
      </c>
      <c r="D809" s="42" t="s">
        <v>54</v>
      </c>
      <c r="E809" s="27" t="s">
        <v>23</v>
      </c>
      <c r="F809" s="72">
        <f>3.5*5.6+(3.5*1.5)*2+2*5</f>
        <v>40.099999999999994</v>
      </c>
      <c r="G809" s="46">
        <v>213000</v>
      </c>
      <c r="H809" s="30">
        <v>0.8</v>
      </c>
      <c r="I809" s="31">
        <v>1.1479999999999999</v>
      </c>
      <c r="J809" s="223">
        <f t="shared" si="74"/>
        <v>7844000</v>
      </c>
      <c r="K809" s="39">
        <f t="shared" si="71"/>
        <v>7844000</v>
      </c>
      <c r="L809" s="261">
        <f t="shared" si="75"/>
        <v>0</v>
      </c>
      <c r="M809" s="14"/>
    </row>
    <row r="810" spans="1:13" ht="61.5" customHeight="1" x14ac:dyDescent="0.3">
      <c r="A810" s="117"/>
      <c r="B810" s="118"/>
      <c r="C810" s="106" t="s">
        <v>229</v>
      </c>
      <c r="D810" s="34" t="s">
        <v>80</v>
      </c>
      <c r="E810" s="71" t="s">
        <v>23</v>
      </c>
      <c r="F810" s="152">
        <f>1.5*5.6</f>
        <v>8.3999999999999986</v>
      </c>
      <c r="G810" s="29">
        <v>385000</v>
      </c>
      <c r="H810" s="37">
        <v>0.8</v>
      </c>
      <c r="I810" s="31">
        <v>1.1479999999999999</v>
      </c>
      <c r="J810" s="223">
        <f t="shared" si="74"/>
        <v>2970000</v>
      </c>
      <c r="K810" s="39">
        <f t="shared" si="71"/>
        <v>2970000</v>
      </c>
      <c r="L810" s="261">
        <f t="shared" si="75"/>
        <v>0</v>
      </c>
      <c r="M810" s="14"/>
    </row>
    <row r="811" spans="1:13" ht="61.5" customHeight="1" x14ac:dyDescent="0.3">
      <c r="A811" s="69"/>
      <c r="B811" s="8"/>
      <c r="C811" s="82" t="s">
        <v>230</v>
      </c>
      <c r="D811" s="34" t="s">
        <v>55</v>
      </c>
      <c r="E811" s="27" t="s">
        <v>23</v>
      </c>
      <c r="F811" s="72">
        <f>5.9*3.4</f>
        <v>20.060000000000002</v>
      </c>
      <c r="G811" s="29">
        <v>905000</v>
      </c>
      <c r="H811" s="37">
        <v>0.8</v>
      </c>
      <c r="I811" s="79">
        <v>1.1479999999999999</v>
      </c>
      <c r="J811" s="223">
        <f t="shared" si="74"/>
        <v>16673000</v>
      </c>
      <c r="K811" s="39">
        <f t="shared" si="71"/>
        <v>16673000</v>
      </c>
      <c r="L811" s="261">
        <f t="shared" si="75"/>
        <v>0</v>
      </c>
      <c r="M811" s="14"/>
    </row>
    <row r="812" spans="1:13" ht="61.5" customHeight="1" x14ac:dyDescent="0.3">
      <c r="A812" s="69"/>
      <c r="B812" s="8"/>
      <c r="C812" s="82" t="s">
        <v>854</v>
      </c>
      <c r="D812" s="34" t="s">
        <v>51</v>
      </c>
      <c r="E812" s="27" t="s">
        <v>23</v>
      </c>
      <c r="F812" s="72">
        <f>1.1*5.9</f>
        <v>6.4900000000000011</v>
      </c>
      <c r="G812" s="29">
        <v>453000</v>
      </c>
      <c r="H812" s="37">
        <v>0.8</v>
      </c>
      <c r="I812" s="31">
        <v>1.1479999999999999</v>
      </c>
      <c r="J812" s="223">
        <f t="shared" si="74"/>
        <v>2700000</v>
      </c>
      <c r="K812" s="39">
        <f t="shared" si="71"/>
        <v>2700000</v>
      </c>
      <c r="L812" s="261">
        <f t="shared" si="75"/>
        <v>0</v>
      </c>
      <c r="M812" s="14"/>
    </row>
    <row r="813" spans="1:13" ht="61.5" customHeight="1" x14ac:dyDescent="0.3">
      <c r="A813" s="149">
        <v>55</v>
      </c>
      <c r="B813" s="150" t="s">
        <v>231</v>
      </c>
      <c r="C813" s="455" t="s">
        <v>232</v>
      </c>
      <c r="D813" s="456"/>
      <c r="E813" s="456"/>
      <c r="F813" s="456"/>
      <c r="G813" s="456"/>
      <c r="H813" s="456"/>
      <c r="I813" s="457"/>
      <c r="J813" s="221">
        <f>SUM(J814:J822)</f>
        <v>290429000</v>
      </c>
      <c r="K813" s="39">
        <f t="shared" si="71"/>
        <v>0</v>
      </c>
      <c r="L813" s="261">
        <f t="shared" si="75"/>
        <v>290429000</v>
      </c>
      <c r="M813" s="24"/>
    </row>
    <row r="814" spans="1:13" ht="90" customHeight="1" x14ac:dyDescent="0.3">
      <c r="A814" s="67"/>
      <c r="B814" s="68"/>
      <c r="C814" s="20" t="s">
        <v>233</v>
      </c>
      <c r="D814" s="26"/>
      <c r="E814" s="27" t="s">
        <v>23</v>
      </c>
      <c r="F814" s="35">
        <v>53.4</v>
      </c>
      <c r="G814" s="464" t="s">
        <v>1152</v>
      </c>
      <c r="H814" s="464"/>
      <c r="I814" s="465"/>
      <c r="J814" s="227"/>
      <c r="K814" s="39"/>
      <c r="L814" s="261">
        <f t="shared" si="75"/>
        <v>0</v>
      </c>
      <c r="M814" s="14"/>
    </row>
    <row r="815" spans="1:13" ht="72" customHeight="1" x14ac:dyDescent="0.3">
      <c r="A815" s="69"/>
      <c r="B815" s="8"/>
      <c r="C815" s="82" t="s">
        <v>234</v>
      </c>
      <c r="D815" s="81" t="s">
        <v>113</v>
      </c>
      <c r="E815" s="27" t="s">
        <v>23</v>
      </c>
      <c r="F815" s="75">
        <f>12.1*6.3</f>
        <v>76.22999999999999</v>
      </c>
      <c r="G815" s="29">
        <v>3224000</v>
      </c>
      <c r="H815" s="101">
        <v>0.8</v>
      </c>
      <c r="I815" s="102">
        <v>1.1479999999999999</v>
      </c>
      <c r="J815" s="223">
        <f t="shared" ref="J815:J822" si="76">ROUND(F815*G815*H815*I815,-3)</f>
        <v>225711000</v>
      </c>
      <c r="K815" s="39">
        <f t="shared" si="71"/>
        <v>225711000</v>
      </c>
      <c r="L815" s="261">
        <f t="shared" si="75"/>
        <v>0</v>
      </c>
      <c r="M815" s="14"/>
    </row>
    <row r="816" spans="1:13" ht="61.5" customHeight="1" x14ac:dyDescent="0.3">
      <c r="A816" s="69"/>
      <c r="B816" s="8"/>
      <c r="C816" s="82" t="s">
        <v>235</v>
      </c>
      <c r="D816" s="42" t="s">
        <v>54</v>
      </c>
      <c r="E816" s="27" t="s">
        <v>23</v>
      </c>
      <c r="F816" s="72">
        <f>11.7*6.1</f>
        <v>71.36999999999999</v>
      </c>
      <c r="G816" s="46">
        <v>213000</v>
      </c>
      <c r="H816" s="30">
        <v>0.8</v>
      </c>
      <c r="I816" s="31">
        <v>1.1479999999999999</v>
      </c>
      <c r="J816" s="223">
        <f t="shared" si="76"/>
        <v>13961000</v>
      </c>
      <c r="K816" s="39">
        <f t="shared" si="71"/>
        <v>13961000</v>
      </c>
      <c r="L816" s="261"/>
      <c r="M816" s="14"/>
    </row>
    <row r="817" spans="1:13" ht="61.5" customHeight="1" x14ac:dyDescent="0.3">
      <c r="A817" s="69"/>
      <c r="B817" s="8"/>
      <c r="C817" s="82" t="s">
        <v>236</v>
      </c>
      <c r="D817" s="42" t="s">
        <v>54</v>
      </c>
      <c r="E817" s="27" t="s">
        <v>23</v>
      </c>
      <c r="F817" s="72">
        <f>19.9*3.05+6.1*0.5+2.5*3.05</f>
        <v>71.36999999999999</v>
      </c>
      <c r="G817" s="46">
        <v>213000</v>
      </c>
      <c r="H817" s="52">
        <v>0.8</v>
      </c>
      <c r="I817" s="57">
        <v>1.1479999999999999</v>
      </c>
      <c r="J817" s="223">
        <f t="shared" si="76"/>
        <v>13961000</v>
      </c>
      <c r="K817" s="39">
        <f t="shared" si="71"/>
        <v>13961000</v>
      </c>
      <c r="L817" s="262">
        <f t="shared" ref="L817:L840" si="77">J817-K817</f>
        <v>0</v>
      </c>
      <c r="M817" s="14"/>
    </row>
    <row r="818" spans="1:13" ht="61.5" customHeight="1" x14ac:dyDescent="0.3">
      <c r="A818" s="69"/>
      <c r="B818" s="8"/>
      <c r="C818" s="82" t="s">
        <v>237</v>
      </c>
      <c r="D818" s="34" t="s">
        <v>31</v>
      </c>
      <c r="E818" s="27" t="s">
        <v>23</v>
      </c>
      <c r="F818" s="75">
        <f>4.2*6.3</f>
        <v>26.46</v>
      </c>
      <c r="G818" s="29">
        <v>339000</v>
      </c>
      <c r="H818" s="37">
        <v>0.8</v>
      </c>
      <c r="I818" s="31">
        <v>1.1479999999999999</v>
      </c>
      <c r="J818" s="223">
        <f t="shared" si="76"/>
        <v>8238000</v>
      </c>
      <c r="K818" s="39">
        <f t="shared" si="71"/>
        <v>8238000</v>
      </c>
      <c r="L818" s="262">
        <f t="shared" si="77"/>
        <v>0</v>
      </c>
      <c r="M818" s="14"/>
    </row>
    <row r="819" spans="1:13" ht="61.5" customHeight="1" x14ac:dyDescent="0.3">
      <c r="A819" s="69"/>
      <c r="B819" s="8"/>
      <c r="C819" s="82" t="s">
        <v>238</v>
      </c>
      <c r="D819" s="26" t="s">
        <v>56</v>
      </c>
      <c r="E819" s="27" t="s">
        <v>23</v>
      </c>
      <c r="F819" s="72">
        <f>5.75*3.05</f>
        <v>17.537499999999998</v>
      </c>
      <c r="G819" s="29">
        <v>735000</v>
      </c>
      <c r="H819" s="37">
        <v>0.8</v>
      </c>
      <c r="I819" s="31">
        <v>1.1479999999999999</v>
      </c>
      <c r="J819" s="223">
        <f t="shared" si="76"/>
        <v>11838000</v>
      </c>
      <c r="K819" s="39">
        <f t="shared" si="71"/>
        <v>11838000</v>
      </c>
      <c r="L819" s="261">
        <f t="shared" si="77"/>
        <v>0</v>
      </c>
      <c r="M819" s="14"/>
    </row>
    <row r="820" spans="1:13" ht="61.5" customHeight="1" x14ac:dyDescent="0.3">
      <c r="A820" s="69"/>
      <c r="B820" s="8"/>
      <c r="C820" s="82" t="s">
        <v>239</v>
      </c>
      <c r="D820" s="34" t="s">
        <v>55</v>
      </c>
      <c r="E820" s="27" t="s">
        <v>23</v>
      </c>
      <c r="F820" s="72">
        <f>3.1*6.3</f>
        <v>19.53</v>
      </c>
      <c r="G820" s="29">
        <v>905000</v>
      </c>
      <c r="H820" s="37">
        <v>0.8</v>
      </c>
      <c r="I820" s="79">
        <v>1.1479999999999999</v>
      </c>
      <c r="J820" s="223">
        <f t="shared" si="76"/>
        <v>16232000</v>
      </c>
      <c r="K820" s="39">
        <f t="shared" si="71"/>
        <v>16232000</v>
      </c>
      <c r="L820" s="261">
        <f t="shared" si="77"/>
        <v>0</v>
      </c>
      <c r="M820" s="14"/>
    </row>
    <row r="821" spans="1:13" ht="61.5" customHeight="1" x14ac:dyDescent="0.3">
      <c r="A821" s="69"/>
      <c r="B821" s="8"/>
      <c r="C821" s="82" t="s">
        <v>240</v>
      </c>
      <c r="D821" s="62" t="s">
        <v>44</v>
      </c>
      <c r="E821" s="63" t="s">
        <v>45</v>
      </c>
      <c r="F821" s="77">
        <v>9.5</v>
      </c>
      <c r="G821" s="46">
        <v>28000</v>
      </c>
      <c r="H821" s="66">
        <v>0.8</v>
      </c>
      <c r="I821" s="31">
        <v>1.1479999999999999</v>
      </c>
      <c r="J821" s="223">
        <f t="shared" si="76"/>
        <v>244000</v>
      </c>
      <c r="K821" s="39">
        <f t="shared" si="71"/>
        <v>244000</v>
      </c>
      <c r="L821" s="261">
        <f t="shared" si="77"/>
        <v>0</v>
      </c>
      <c r="M821" s="14"/>
    </row>
    <row r="822" spans="1:13" ht="61.5" customHeight="1" x14ac:dyDescent="0.3">
      <c r="A822" s="69"/>
      <c r="B822" s="8"/>
      <c r="C822" s="82" t="s">
        <v>241</v>
      </c>
      <c r="D822" s="42" t="s">
        <v>47</v>
      </c>
      <c r="E822" s="63" t="s">
        <v>45</v>
      </c>
      <c r="F822" s="77">
        <v>9.5</v>
      </c>
      <c r="G822" s="46">
        <v>28000</v>
      </c>
      <c r="H822" s="56">
        <v>0.8</v>
      </c>
      <c r="I822" s="31">
        <v>1.1479999999999999</v>
      </c>
      <c r="J822" s="223">
        <f t="shared" si="76"/>
        <v>244000</v>
      </c>
      <c r="K822" s="39">
        <f t="shared" si="71"/>
        <v>244000</v>
      </c>
      <c r="L822" s="261">
        <f t="shared" si="77"/>
        <v>0</v>
      </c>
      <c r="M822" s="14"/>
    </row>
    <row r="823" spans="1:13" ht="61.5" customHeight="1" x14ac:dyDescent="0.3">
      <c r="A823" s="211">
        <v>56</v>
      </c>
      <c r="B823" s="17" t="s">
        <v>60</v>
      </c>
      <c r="C823" s="433" t="s">
        <v>1153</v>
      </c>
      <c r="D823" s="434"/>
      <c r="E823" s="434"/>
      <c r="F823" s="434"/>
      <c r="G823" s="434"/>
      <c r="H823" s="434"/>
      <c r="I823" s="435"/>
      <c r="J823" s="221">
        <f>SUM(J824:J835)</f>
        <v>323499000</v>
      </c>
      <c r="K823" s="39">
        <f t="shared" si="71"/>
        <v>0</v>
      </c>
      <c r="L823" s="261">
        <f t="shared" si="77"/>
        <v>323499000</v>
      </c>
      <c r="M823" s="14"/>
    </row>
    <row r="824" spans="1:13" ht="90" customHeight="1" x14ac:dyDescent="0.3">
      <c r="A824" s="18"/>
      <c r="B824" s="19"/>
      <c r="C824" s="20" t="s">
        <v>61</v>
      </c>
      <c r="D824" s="21"/>
      <c r="E824" s="22" t="s">
        <v>23</v>
      </c>
      <c r="F824" s="23">
        <f>53.3+35</f>
        <v>88.3</v>
      </c>
      <c r="G824" s="464" t="s">
        <v>1152</v>
      </c>
      <c r="H824" s="464"/>
      <c r="I824" s="465"/>
      <c r="J824" s="222"/>
      <c r="K824" s="39"/>
      <c r="L824" s="261">
        <f t="shared" si="77"/>
        <v>0</v>
      </c>
      <c r="M824" s="24"/>
    </row>
    <row r="825" spans="1:13" ht="72" customHeight="1" x14ac:dyDescent="0.3">
      <c r="A825" s="211"/>
      <c r="B825" s="17"/>
      <c r="C825" s="25" t="s">
        <v>62</v>
      </c>
      <c r="D825" s="81" t="s">
        <v>63</v>
      </c>
      <c r="E825" s="27" t="s">
        <v>23</v>
      </c>
      <c r="F825" s="41">
        <f>5.4*7.2+7*8.3</f>
        <v>96.980000000000018</v>
      </c>
      <c r="G825" s="49">
        <v>2975000</v>
      </c>
      <c r="H825" s="37">
        <v>0.8</v>
      </c>
      <c r="I825" s="31">
        <v>1.1479999999999999</v>
      </c>
      <c r="J825" s="223">
        <f t="shared" ref="J825:J835" si="78">ROUND(F825*G825*H825*I825,-3)</f>
        <v>264973000</v>
      </c>
      <c r="K825" s="39">
        <f t="shared" si="71"/>
        <v>264973000</v>
      </c>
      <c r="L825" s="261">
        <f t="shared" si="77"/>
        <v>0</v>
      </c>
      <c r="M825" s="14"/>
    </row>
    <row r="826" spans="1:13" ht="61.5" customHeight="1" x14ac:dyDescent="0.3">
      <c r="A826" s="69"/>
      <c r="B826" s="8"/>
      <c r="C826" s="82" t="s">
        <v>64</v>
      </c>
      <c r="D826" s="26" t="s">
        <v>56</v>
      </c>
      <c r="E826" s="27" t="s">
        <v>23</v>
      </c>
      <c r="F826" s="72">
        <f>2.5*3</f>
        <v>7.5</v>
      </c>
      <c r="G826" s="29">
        <v>735000</v>
      </c>
      <c r="H826" s="37">
        <v>0.8</v>
      </c>
      <c r="I826" s="31">
        <v>1.1479999999999999</v>
      </c>
      <c r="J826" s="223">
        <f t="shared" si="78"/>
        <v>5063000</v>
      </c>
      <c r="K826" s="39">
        <f t="shared" si="71"/>
        <v>5063000</v>
      </c>
      <c r="L826" s="261">
        <f t="shared" si="77"/>
        <v>0</v>
      </c>
      <c r="M826" s="14"/>
    </row>
    <row r="827" spans="1:13" ht="61.5" customHeight="1" x14ac:dyDescent="0.3">
      <c r="A827" s="69"/>
      <c r="B827" s="8"/>
      <c r="C827" s="82" t="s">
        <v>65</v>
      </c>
      <c r="D827" s="34" t="s">
        <v>66</v>
      </c>
      <c r="E827" s="27" t="s">
        <v>23</v>
      </c>
      <c r="F827" s="72">
        <f>7*0.8+3*2.8</f>
        <v>14</v>
      </c>
      <c r="G827" s="29">
        <v>339000</v>
      </c>
      <c r="H827" s="38">
        <v>0.8</v>
      </c>
      <c r="I827" s="31">
        <v>1.1479999999999999</v>
      </c>
      <c r="J827" s="223">
        <f t="shared" si="78"/>
        <v>4359000</v>
      </c>
      <c r="K827" s="39">
        <f t="shared" si="71"/>
        <v>4359000</v>
      </c>
      <c r="L827" s="261">
        <f t="shared" si="77"/>
        <v>0</v>
      </c>
      <c r="M827" s="14"/>
    </row>
    <row r="828" spans="1:13" ht="61.5" customHeight="1" x14ac:dyDescent="0.3">
      <c r="A828" s="69"/>
      <c r="B828" s="8"/>
      <c r="C828" s="82" t="s">
        <v>67</v>
      </c>
      <c r="D828" s="34" t="s">
        <v>68</v>
      </c>
      <c r="E828" s="71" t="s">
        <v>23</v>
      </c>
      <c r="F828" s="72">
        <f>8.1*6.7</f>
        <v>54.269999999999996</v>
      </c>
      <c r="G828" s="46">
        <v>213000</v>
      </c>
      <c r="H828" s="37">
        <v>0.8</v>
      </c>
      <c r="I828" s="31">
        <v>1.1479999999999999</v>
      </c>
      <c r="J828" s="223">
        <f t="shared" si="78"/>
        <v>10616000</v>
      </c>
      <c r="K828" s="39">
        <f t="shared" si="71"/>
        <v>10616000</v>
      </c>
      <c r="L828" s="261">
        <f t="shared" si="77"/>
        <v>0</v>
      </c>
      <c r="M828" s="14"/>
    </row>
    <row r="829" spans="1:13" ht="61.5" customHeight="1" x14ac:dyDescent="0.3">
      <c r="A829" s="69"/>
      <c r="B829" s="8"/>
      <c r="C829" s="82" t="s">
        <v>847</v>
      </c>
      <c r="D829" s="34" t="s">
        <v>51</v>
      </c>
      <c r="E829" s="27" t="s">
        <v>23</v>
      </c>
      <c r="F829" s="72">
        <f>12.3*2.6</f>
        <v>31.980000000000004</v>
      </c>
      <c r="G829" s="29">
        <v>453000</v>
      </c>
      <c r="H829" s="37">
        <v>0.8</v>
      </c>
      <c r="I829" s="31">
        <v>1.1479999999999999</v>
      </c>
      <c r="J829" s="223">
        <f t="shared" si="78"/>
        <v>13305000</v>
      </c>
      <c r="K829" s="39">
        <f t="shared" si="71"/>
        <v>13305000</v>
      </c>
      <c r="L829" s="261">
        <f t="shared" si="77"/>
        <v>0</v>
      </c>
      <c r="M829" s="14"/>
    </row>
    <row r="830" spans="1:13" ht="61.5" customHeight="1" x14ac:dyDescent="0.3">
      <c r="A830" s="69"/>
      <c r="B830" s="8"/>
      <c r="C830" s="82" t="s">
        <v>69</v>
      </c>
      <c r="D830" s="42" t="s">
        <v>32</v>
      </c>
      <c r="E830" s="27" t="s">
        <v>23</v>
      </c>
      <c r="F830" s="72">
        <f>8.5*12.3</f>
        <v>104.55000000000001</v>
      </c>
      <c r="G830" s="29">
        <v>215000</v>
      </c>
      <c r="H830" s="43">
        <v>0.8</v>
      </c>
      <c r="I830" s="31">
        <v>1.1479999999999999</v>
      </c>
      <c r="J830" s="223">
        <f t="shared" si="78"/>
        <v>20644000</v>
      </c>
      <c r="K830" s="39">
        <f t="shared" si="71"/>
        <v>20644000</v>
      </c>
      <c r="L830" s="261">
        <f t="shared" si="77"/>
        <v>0</v>
      </c>
      <c r="M830" s="14"/>
    </row>
    <row r="831" spans="1:13" ht="61.5" customHeight="1" x14ac:dyDescent="0.3">
      <c r="A831" s="69"/>
      <c r="B831" s="8"/>
      <c r="C831" s="83" t="s">
        <v>70</v>
      </c>
      <c r="D831" s="26" t="s">
        <v>24</v>
      </c>
      <c r="E831" s="84" t="s">
        <v>25</v>
      </c>
      <c r="F831" s="85">
        <f>1.05*5.4*0.2</f>
        <v>1.1340000000000001</v>
      </c>
      <c r="G831" s="86">
        <v>2828000</v>
      </c>
      <c r="H831" s="87">
        <v>0.8</v>
      </c>
      <c r="I831" s="88">
        <v>1.1479999999999999</v>
      </c>
      <c r="J831" s="223">
        <f t="shared" si="78"/>
        <v>2945000</v>
      </c>
      <c r="K831" s="39">
        <f t="shared" si="71"/>
        <v>2945000</v>
      </c>
      <c r="L831" s="261">
        <f t="shared" si="77"/>
        <v>0</v>
      </c>
      <c r="M831" s="14"/>
    </row>
    <row r="832" spans="1:13" ht="61.5" customHeight="1" x14ac:dyDescent="0.3">
      <c r="A832" s="69"/>
      <c r="B832" s="8"/>
      <c r="C832" s="82" t="s">
        <v>71</v>
      </c>
      <c r="D832" s="42" t="s">
        <v>54</v>
      </c>
      <c r="E832" s="27" t="s">
        <v>23</v>
      </c>
      <c r="F832" s="72">
        <f>5.6*1.2</f>
        <v>6.72</v>
      </c>
      <c r="G832" s="46">
        <v>213000</v>
      </c>
      <c r="H832" s="52">
        <v>0.8</v>
      </c>
      <c r="I832" s="57">
        <v>1.1479999999999999</v>
      </c>
      <c r="J832" s="223">
        <f t="shared" si="78"/>
        <v>1315000</v>
      </c>
      <c r="K832" s="39">
        <f t="shared" si="71"/>
        <v>1315000</v>
      </c>
      <c r="L832" s="261">
        <f t="shared" si="77"/>
        <v>0</v>
      </c>
      <c r="M832" s="14"/>
    </row>
    <row r="833" spans="1:13" ht="61.5" customHeight="1" x14ac:dyDescent="0.3">
      <c r="A833" s="69"/>
      <c r="B833" s="8"/>
      <c r="C833" s="82" t="s">
        <v>50</v>
      </c>
      <c r="D833" s="58" t="s">
        <v>41</v>
      </c>
      <c r="E833" s="59" t="s">
        <v>42</v>
      </c>
      <c r="F833" s="98">
        <v>2</v>
      </c>
      <c r="G833" s="11">
        <v>10650</v>
      </c>
      <c r="H833" s="60">
        <v>1</v>
      </c>
      <c r="I833" s="61">
        <v>1</v>
      </c>
      <c r="J833" s="223">
        <f t="shared" si="78"/>
        <v>21000</v>
      </c>
      <c r="K833" s="39">
        <f t="shared" si="71"/>
        <v>21000</v>
      </c>
      <c r="L833" s="261">
        <f t="shared" si="77"/>
        <v>0</v>
      </c>
      <c r="M833" s="14"/>
    </row>
    <row r="834" spans="1:13" ht="61.5" customHeight="1" x14ac:dyDescent="0.3">
      <c r="A834" s="69"/>
      <c r="B834" s="8"/>
      <c r="C834" s="82" t="s">
        <v>72</v>
      </c>
      <c r="D834" s="62" t="s">
        <v>44</v>
      </c>
      <c r="E834" s="63" t="s">
        <v>45</v>
      </c>
      <c r="F834" s="77">
        <v>5</v>
      </c>
      <c r="G834" s="46">
        <v>28000</v>
      </c>
      <c r="H834" s="66">
        <v>0.8</v>
      </c>
      <c r="I834" s="31">
        <v>1.1479999999999999</v>
      </c>
      <c r="J834" s="223">
        <f t="shared" si="78"/>
        <v>129000</v>
      </c>
      <c r="K834" s="39">
        <f t="shared" si="71"/>
        <v>129000</v>
      </c>
      <c r="L834" s="261">
        <f t="shared" si="77"/>
        <v>0</v>
      </c>
      <c r="M834" s="14"/>
    </row>
    <row r="835" spans="1:13" ht="61.5" customHeight="1" x14ac:dyDescent="0.3">
      <c r="A835" s="69"/>
      <c r="B835" s="8"/>
      <c r="C835" s="82" t="s">
        <v>73</v>
      </c>
      <c r="D835" s="42" t="s">
        <v>47</v>
      </c>
      <c r="E835" s="63" t="s">
        <v>45</v>
      </c>
      <c r="F835" s="74">
        <v>5</v>
      </c>
      <c r="G835" s="46">
        <v>28000</v>
      </c>
      <c r="H835" s="66">
        <v>0.8</v>
      </c>
      <c r="I835" s="31">
        <v>1.1479999999999999</v>
      </c>
      <c r="J835" s="223">
        <f t="shared" si="78"/>
        <v>129000</v>
      </c>
      <c r="K835" s="39">
        <f t="shared" si="71"/>
        <v>129000</v>
      </c>
      <c r="L835" s="261">
        <f t="shared" si="77"/>
        <v>0</v>
      </c>
      <c r="M835" s="14"/>
    </row>
    <row r="836" spans="1:13" ht="61.5" customHeight="1" x14ac:dyDescent="0.3">
      <c r="A836" s="211">
        <v>57</v>
      </c>
      <c r="B836" s="17" t="s">
        <v>74</v>
      </c>
      <c r="C836" s="477" t="s">
        <v>75</v>
      </c>
      <c r="D836" s="478"/>
      <c r="E836" s="478"/>
      <c r="F836" s="478"/>
      <c r="G836" s="478"/>
      <c r="H836" s="478"/>
      <c r="I836" s="479"/>
      <c r="J836" s="221">
        <f>SUM(J837:J846)</f>
        <v>104847000</v>
      </c>
      <c r="K836" s="39">
        <f t="shared" si="71"/>
        <v>0</v>
      </c>
      <c r="L836" s="261">
        <f t="shared" si="77"/>
        <v>104847000</v>
      </c>
      <c r="M836" s="14"/>
    </row>
    <row r="837" spans="1:13" ht="90" customHeight="1" x14ac:dyDescent="0.3">
      <c r="A837" s="18"/>
      <c r="B837" s="19"/>
      <c r="C837" s="20" t="s">
        <v>76</v>
      </c>
      <c r="D837" s="21"/>
      <c r="E837" s="22" t="s">
        <v>23</v>
      </c>
      <c r="F837" s="23">
        <v>43.1</v>
      </c>
      <c r="G837" s="464" t="s">
        <v>1152</v>
      </c>
      <c r="H837" s="464"/>
      <c r="I837" s="465"/>
      <c r="J837" s="222"/>
      <c r="K837" s="39"/>
      <c r="L837" s="261">
        <f t="shared" si="77"/>
        <v>0</v>
      </c>
      <c r="M837" s="24"/>
    </row>
    <row r="838" spans="1:13" ht="61.5" customHeight="1" x14ac:dyDescent="0.3">
      <c r="A838" s="211"/>
      <c r="B838" s="17"/>
      <c r="C838" s="25" t="s">
        <v>848</v>
      </c>
      <c r="D838" s="34" t="s">
        <v>51</v>
      </c>
      <c r="E838" s="27" t="s">
        <v>23</v>
      </c>
      <c r="F838" s="28">
        <f>4.6*5.5</f>
        <v>25.299999999999997</v>
      </c>
      <c r="G838" s="29">
        <v>453000</v>
      </c>
      <c r="H838" s="37">
        <v>0.8</v>
      </c>
      <c r="I838" s="31">
        <v>1.1479999999999999</v>
      </c>
      <c r="J838" s="223">
        <f t="shared" ref="J838:J846" si="79">ROUND(F838*G838*H838*I838,-3)</f>
        <v>10526000</v>
      </c>
      <c r="K838" s="39">
        <f t="shared" si="71"/>
        <v>10526000</v>
      </c>
      <c r="L838" s="261">
        <f t="shared" si="77"/>
        <v>0</v>
      </c>
      <c r="M838" s="14"/>
    </row>
    <row r="839" spans="1:13" ht="61.5" customHeight="1" x14ac:dyDescent="0.3">
      <c r="A839" s="211"/>
      <c r="B839" s="17"/>
      <c r="C839" s="25" t="s">
        <v>77</v>
      </c>
      <c r="D839" s="42" t="s">
        <v>32</v>
      </c>
      <c r="E839" s="27" t="s">
        <v>23</v>
      </c>
      <c r="F839" s="28">
        <f>5.5*5.5</f>
        <v>30.25</v>
      </c>
      <c r="G839" s="29">
        <v>215000</v>
      </c>
      <c r="H839" s="43">
        <v>0.8</v>
      </c>
      <c r="I839" s="31">
        <v>1.1479999999999999</v>
      </c>
      <c r="J839" s="223">
        <f t="shared" si="79"/>
        <v>5973000</v>
      </c>
      <c r="K839" s="39">
        <f t="shared" ref="K839:K902" si="80">ROUND(F839*G839*H839*I839,-3)</f>
        <v>5973000</v>
      </c>
      <c r="L839" s="261">
        <f t="shared" si="77"/>
        <v>0</v>
      </c>
      <c r="M839" s="14"/>
    </row>
    <row r="840" spans="1:13" ht="61.5" customHeight="1" x14ac:dyDescent="0.3">
      <c r="A840" s="69"/>
      <c r="B840" s="8"/>
      <c r="C840" s="82" t="s">
        <v>78</v>
      </c>
      <c r="D840" s="34" t="s">
        <v>31</v>
      </c>
      <c r="E840" s="27" t="s">
        <v>23</v>
      </c>
      <c r="F840" s="75">
        <f>4.5*5.5</f>
        <v>24.75</v>
      </c>
      <c r="G840" s="29">
        <v>339000</v>
      </c>
      <c r="H840" s="37">
        <v>0.8</v>
      </c>
      <c r="I840" s="31">
        <v>1.1479999999999999</v>
      </c>
      <c r="J840" s="223">
        <f t="shared" si="79"/>
        <v>7706000</v>
      </c>
      <c r="K840" s="39">
        <f t="shared" si="80"/>
        <v>7706000</v>
      </c>
      <c r="L840" s="261">
        <f t="shared" si="77"/>
        <v>0</v>
      </c>
      <c r="M840" s="14"/>
    </row>
    <row r="841" spans="1:13" ht="61.5" customHeight="1" x14ac:dyDescent="0.3">
      <c r="A841" s="69"/>
      <c r="B841" s="8"/>
      <c r="C841" s="82" t="s">
        <v>79</v>
      </c>
      <c r="D841" s="34" t="s">
        <v>52</v>
      </c>
      <c r="E841" s="71" t="s">
        <v>23</v>
      </c>
      <c r="F841" s="72">
        <f>6.85*3.5</f>
        <v>23.974999999999998</v>
      </c>
      <c r="G841" s="11" t="s">
        <v>53</v>
      </c>
      <c r="H841" s="37">
        <v>0.8</v>
      </c>
      <c r="I841" s="31">
        <v>1.1479999999999999</v>
      </c>
      <c r="J841" s="223">
        <f t="shared" si="79"/>
        <v>5196000</v>
      </c>
      <c r="K841" s="39">
        <f t="shared" si="80"/>
        <v>5196000</v>
      </c>
      <c r="L841" s="261"/>
      <c r="M841" s="14"/>
    </row>
    <row r="842" spans="1:13" ht="44.25" customHeight="1" x14ac:dyDescent="0.3">
      <c r="A842" s="69"/>
      <c r="B842" s="8"/>
      <c r="C842" s="82" t="s">
        <v>868</v>
      </c>
      <c r="D842" s="34" t="s">
        <v>80</v>
      </c>
      <c r="E842" s="71" t="s">
        <v>23</v>
      </c>
      <c r="F842" s="72">
        <f>2.05*4.6+5.3*3.8</f>
        <v>29.569999999999993</v>
      </c>
      <c r="G842" s="29">
        <v>385000</v>
      </c>
      <c r="H842" s="37">
        <v>0.8</v>
      </c>
      <c r="I842" s="31">
        <v>1.1479999999999999</v>
      </c>
      <c r="J842" s="223">
        <f t="shared" si="79"/>
        <v>10455000</v>
      </c>
      <c r="K842" s="39">
        <f t="shared" si="80"/>
        <v>10455000</v>
      </c>
      <c r="L842" s="262">
        <f t="shared" ref="L842:L855" si="81">J842-K842</f>
        <v>0</v>
      </c>
      <c r="M842" s="14"/>
    </row>
    <row r="843" spans="1:13" ht="72" customHeight="1" x14ac:dyDescent="0.3">
      <c r="A843" s="69"/>
      <c r="B843" s="8"/>
      <c r="C843" s="82" t="s">
        <v>81</v>
      </c>
      <c r="D843" s="81" t="s">
        <v>63</v>
      </c>
      <c r="E843" s="27" t="s">
        <v>23</v>
      </c>
      <c r="F843" s="89">
        <f>5.8*3.8</f>
        <v>22.04</v>
      </c>
      <c r="G843" s="49">
        <v>2975000</v>
      </c>
      <c r="H843" s="37">
        <v>0.8</v>
      </c>
      <c r="I843" s="31">
        <v>1.1479999999999999</v>
      </c>
      <c r="J843" s="223">
        <f t="shared" si="79"/>
        <v>60219000</v>
      </c>
      <c r="K843" s="39">
        <f t="shared" si="80"/>
        <v>60219000</v>
      </c>
      <c r="L843" s="261">
        <f t="shared" si="81"/>
        <v>0</v>
      </c>
      <c r="M843" s="14"/>
    </row>
    <row r="844" spans="1:13" ht="61.5" customHeight="1" x14ac:dyDescent="0.3">
      <c r="A844" s="69"/>
      <c r="B844" s="8"/>
      <c r="C844" s="82" t="s">
        <v>1030</v>
      </c>
      <c r="D844" s="34" t="s">
        <v>66</v>
      </c>
      <c r="E844" s="27" t="s">
        <v>23</v>
      </c>
      <c r="F844" s="72">
        <f>(3.8*1.2)*2+0.85*1.8+1.1*3.5</f>
        <v>14.5</v>
      </c>
      <c r="G844" s="29">
        <v>339000</v>
      </c>
      <c r="H844" s="38">
        <v>0.8</v>
      </c>
      <c r="I844" s="31">
        <v>1.1479999999999999</v>
      </c>
      <c r="J844" s="223">
        <f t="shared" si="79"/>
        <v>4514000</v>
      </c>
      <c r="K844" s="39">
        <f t="shared" si="80"/>
        <v>4514000</v>
      </c>
      <c r="L844" s="261">
        <f t="shared" si="81"/>
        <v>0</v>
      </c>
      <c r="M844" s="14"/>
    </row>
    <row r="845" spans="1:13" ht="61.5" customHeight="1" x14ac:dyDescent="0.3">
      <c r="A845" s="69"/>
      <c r="B845" s="8"/>
      <c r="C845" s="82" t="s">
        <v>82</v>
      </c>
      <c r="D845" s="42" t="s">
        <v>47</v>
      </c>
      <c r="E845" s="63" t="s">
        <v>45</v>
      </c>
      <c r="F845" s="77">
        <v>5</v>
      </c>
      <c r="G845" s="46">
        <v>28000</v>
      </c>
      <c r="H845" s="66">
        <v>0.8</v>
      </c>
      <c r="I845" s="31">
        <v>1.1479999999999999</v>
      </c>
      <c r="J845" s="223">
        <f t="shared" si="79"/>
        <v>129000</v>
      </c>
      <c r="K845" s="39">
        <f t="shared" si="80"/>
        <v>129000</v>
      </c>
      <c r="L845" s="261">
        <f t="shared" si="81"/>
        <v>0</v>
      </c>
      <c r="M845" s="14"/>
    </row>
    <row r="846" spans="1:13" ht="61.5" customHeight="1" x14ac:dyDescent="0.3">
      <c r="A846" s="69"/>
      <c r="B846" s="8"/>
      <c r="C846" s="82" t="s">
        <v>83</v>
      </c>
      <c r="D846" s="42" t="s">
        <v>47</v>
      </c>
      <c r="E846" s="63" t="s">
        <v>45</v>
      </c>
      <c r="F846" s="77">
        <v>5</v>
      </c>
      <c r="G846" s="46">
        <v>28000</v>
      </c>
      <c r="H846" s="66">
        <v>0.8</v>
      </c>
      <c r="I846" s="31">
        <v>1.1479999999999999</v>
      </c>
      <c r="J846" s="223">
        <f t="shared" si="79"/>
        <v>129000</v>
      </c>
      <c r="K846" s="39">
        <f t="shared" si="80"/>
        <v>129000</v>
      </c>
      <c r="L846" s="261">
        <f t="shared" si="81"/>
        <v>0</v>
      </c>
      <c r="M846" s="14"/>
    </row>
    <row r="847" spans="1:13" ht="61.5" customHeight="1" x14ac:dyDescent="0.3">
      <c r="A847" s="211">
        <v>58</v>
      </c>
      <c r="B847" s="17" t="s">
        <v>116</v>
      </c>
      <c r="C847" s="433" t="s">
        <v>117</v>
      </c>
      <c r="D847" s="434"/>
      <c r="E847" s="434"/>
      <c r="F847" s="434"/>
      <c r="G847" s="434"/>
      <c r="H847" s="434"/>
      <c r="I847" s="435"/>
      <c r="J847" s="221">
        <f>SUM(J848:J865)</f>
        <v>332559000</v>
      </c>
      <c r="K847" s="39">
        <f t="shared" si="80"/>
        <v>0</v>
      </c>
      <c r="L847" s="261">
        <f t="shared" si="81"/>
        <v>332559000</v>
      </c>
      <c r="M847" s="14"/>
    </row>
    <row r="848" spans="1:13" ht="90" customHeight="1" x14ac:dyDescent="0.3">
      <c r="A848" s="211"/>
      <c r="B848" s="17"/>
      <c r="C848" s="20" t="s">
        <v>1045</v>
      </c>
      <c r="D848" s="26"/>
      <c r="E848" s="27" t="s">
        <v>23</v>
      </c>
      <c r="F848" s="35">
        <v>66.2</v>
      </c>
      <c r="G848" s="464" t="s">
        <v>1152</v>
      </c>
      <c r="H848" s="464"/>
      <c r="I848" s="465"/>
      <c r="J848" s="227"/>
      <c r="K848" s="39"/>
      <c r="L848" s="261">
        <f t="shared" si="81"/>
        <v>0</v>
      </c>
      <c r="M848" s="14"/>
    </row>
    <row r="849" spans="1:13" ht="72" customHeight="1" x14ac:dyDescent="0.3">
      <c r="A849" s="69"/>
      <c r="B849" s="8"/>
      <c r="C849" s="82" t="s">
        <v>118</v>
      </c>
      <c r="D849" s="9" t="s">
        <v>113</v>
      </c>
      <c r="E849" s="27" t="s">
        <v>23</v>
      </c>
      <c r="F849" s="75">
        <f>7.8*8.75</f>
        <v>68.25</v>
      </c>
      <c r="G849" s="29">
        <v>3224000</v>
      </c>
      <c r="H849" s="37">
        <v>0.8</v>
      </c>
      <c r="I849" s="124">
        <v>1.1479999999999999</v>
      </c>
      <c r="J849" s="223">
        <f t="shared" ref="J849:J865" si="82">ROUND(F849*G849*H849*I849,-3)</f>
        <v>202083000</v>
      </c>
      <c r="K849" s="39">
        <f t="shared" si="80"/>
        <v>202083000</v>
      </c>
      <c r="L849" s="261">
        <f t="shared" si="81"/>
        <v>0</v>
      </c>
      <c r="M849" s="14"/>
    </row>
    <row r="850" spans="1:13" ht="61.5" customHeight="1" x14ac:dyDescent="0.3">
      <c r="A850" s="69"/>
      <c r="B850" s="8"/>
      <c r="C850" s="82" t="s">
        <v>119</v>
      </c>
      <c r="D850" s="34" t="s">
        <v>80</v>
      </c>
      <c r="E850" s="71" t="s">
        <v>23</v>
      </c>
      <c r="F850" s="72">
        <f>7.6*8.55</f>
        <v>64.98</v>
      </c>
      <c r="G850" s="29">
        <v>385000</v>
      </c>
      <c r="H850" s="37">
        <v>0.8</v>
      </c>
      <c r="I850" s="31">
        <v>1.1479999999999999</v>
      </c>
      <c r="J850" s="223">
        <f t="shared" si="82"/>
        <v>22976000</v>
      </c>
      <c r="K850" s="39">
        <f t="shared" si="80"/>
        <v>22976000</v>
      </c>
      <c r="L850" s="261">
        <f t="shared" si="81"/>
        <v>0</v>
      </c>
      <c r="M850" s="14"/>
    </row>
    <row r="851" spans="1:13" ht="61.5" customHeight="1" x14ac:dyDescent="0.3">
      <c r="A851" s="69"/>
      <c r="B851" s="8"/>
      <c r="C851" s="82" t="s">
        <v>120</v>
      </c>
      <c r="D851" s="34" t="s">
        <v>66</v>
      </c>
      <c r="E851" s="27" t="s">
        <v>23</v>
      </c>
      <c r="F851" s="72">
        <f>8.75*1.5+3.35*1.5+2.3*1.5</f>
        <v>21.599999999999998</v>
      </c>
      <c r="G851" s="29">
        <v>339000</v>
      </c>
      <c r="H851" s="38">
        <v>0.8</v>
      </c>
      <c r="I851" s="31">
        <v>1.1479999999999999</v>
      </c>
      <c r="J851" s="223">
        <f t="shared" si="82"/>
        <v>6725000</v>
      </c>
      <c r="K851" s="39">
        <f t="shared" si="80"/>
        <v>6725000</v>
      </c>
      <c r="L851" s="261">
        <f t="shared" si="81"/>
        <v>0</v>
      </c>
      <c r="M851" s="14"/>
    </row>
    <row r="852" spans="1:13" ht="61.5" customHeight="1" x14ac:dyDescent="0.3">
      <c r="A852" s="69"/>
      <c r="B852" s="8"/>
      <c r="C852" s="82" t="s">
        <v>121</v>
      </c>
      <c r="D852" s="34" t="s">
        <v>66</v>
      </c>
      <c r="E852" s="27" t="s">
        <v>23</v>
      </c>
      <c r="F852" s="72">
        <f>1.7*1.5+2.4*4.4+3.2*1.2</f>
        <v>16.95</v>
      </c>
      <c r="G852" s="29">
        <v>339000</v>
      </c>
      <c r="H852" s="38">
        <v>0.8</v>
      </c>
      <c r="I852" s="31">
        <v>1.1479999999999999</v>
      </c>
      <c r="J852" s="223">
        <f t="shared" si="82"/>
        <v>5277000</v>
      </c>
      <c r="K852" s="39">
        <f t="shared" si="80"/>
        <v>5277000</v>
      </c>
      <c r="L852" s="261">
        <f t="shared" si="81"/>
        <v>0</v>
      </c>
      <c r="M852" s="14"/>
    </row>
    <row r="853" spans="1:13" ht="61.5" customHeight="1" x14ac:dyDescent="0.3">
      <c r="A853" s="69"/>
      <c r="B853" s="8"/>
      <c r="C853" s="82" t="s">
        <v>122</v>
      </c>
      <c r="D853" s="34" t="s">
        <v>28</v>
      </c>
      <c r="E853" s="27" t="s">
        <v>23</v>
      </c>
      <c r="F853" s="72">
        <f>1.2*0.5</f>
        <v>0.6</v>
      </c>
      <c r="G853" s="11">
        <v>396000</v>
      </c>
      <c r="H853" s="38">
        <v>0.8</v>
      </c>
      <c r="I853" s="31">
        <v>1.1479999999999999</v>
      </c>
      <c r="J853" s="223">
        <f t="shared" si="82"/>
        <v>218000</v>
      </c>
      <c r="K853" s="39">
        <f t="shared" si="80"/>
        <v>218000</v>
      </c>
      <c r="L853" s="261">
        <f t="shared" si="81"/>
        <v>0</v>
      </c>
      <c r="M853" s="14"/>
    </row>
    <row r="854" spans="1:13" ht="61.5" customHeight="1" x14ac:dyDescent="0.3">
      <c r="A854" s="69"/>
      <c r="B854" s="8"/>
      <c r="C854" s="82" t="s">
        <v>123</v>
      </c>
      <c r="D854" s="34" t="s">
        <v>55</v>
      </c>
      <c r="E854" s="27" t="s">
        <v>23</v>
      </c>
      <c r="F854" s="72">
        <f>7.8*2.4+(0.8*1.2)*2</f>
        <v>20.64</v>
      </c>
      <c r="G854" s="29">
        <v>905000</v>
      </c>
      <c r="H854" s="37">
        <v>0.8</v>
      </c>
      <c r="I854" s="79">
        <v>1.1479999999999999</v>
      </c>
      <c r="J854" s="223">
        <f t="shared" si="82"/>
        <v>17155000</v>
      </c>
      <c r="K854" s="39">
        <f t="shared" si="80"/>
        <v>17155000</v>
      </c>
      <c r="L854" s="261">
        <f t="shared" si="81"/>
        <v>0</v>
      </c>
      <c r="M854" s="14"/>
    </row>
    <row r="855" spans="1:13" ht="61.5" customHeight="1" x14ac:dyDescent="0.3">
      <c r="A855" s="69"/>
      <c r="B855" s="8"/>
      <c r="C855" s="82" t="s">
        <v>849</v>
      </c>
      <c r="D855" s="34" t="s">
        <v>51</v>
      </c>
      <c r="E855" s="27" t="s">
        <v>23</v>
      </c>
      <c r="F855" s="72">
        <f>2.7*7.8</f>
        <v>21.060000000000002</v>
      </c>
      <c r="G855" s="29">
        <v>453000</v>
      </c>
      <c r="H855" s="37">
        <v>0.8</v>
      </c>
      <c r="I855" s="31">
        <v>1.1479999999999999</v>
      </c>
      <c r="J855" s="223">
        <f t="shared" si="82"/>
        <v>8762000</v>
      </c>
      <c r="K855" s="39">
        <f t="shared" si="80"/>
        <v>8762000</v>
      </c>
      <c r="L855" s="261">
        <f t="shared" si="81"/>
        <v>0</v>
      </c>
      <c r="M855" s="14"/>
    </row>
    <row r="856" spans="1:13" ht="61.5" customHeight="1" x14ac:dyDescent="0.3">
      <c r="A856" s="69"/>
      <c r="B856" s="8"/>
      <c r="C856" s="82" t="s">
        <v>124</v>
      </c>
      <c r="D856" s="42" t="s">
        <v>32</v>
      </c>
      <c r="E856" s="27" t="s">
        <v>23</v>
      </c>
      <c r="F856" s="72">
        <f>7.8*6</f>
        <v>46.8</v>
      </c>
      <c r="G856" s="29">
        <v>215000</v>
      </c>
      <c r="H856" s="43">
        <v>0.8</v>
      </c>
      <c r="I856" s="31">
        <v>1.1479999999999999</v>
      </c>
      <c r="J856" s="223">
        <f t="shared" si="82"/>
        <v>9241000</v>
      </c>
      <c r="K856" s="39">
        <f t="shared" si="80"/>
        <v>9241000</v>
      </c>
      <c r="L856" s="261"/>
      <c r="M856" s="14"/>
    </row>
    <row r="857" spans="1:13" ht="61.5" customHeight="1" x14ac:dyDescent="0.3">
      <c r="A857" s="69"/>
      <c r="B857" s="8"/>
      <c r="C857" s="82" t="s">
        <v>125</v>
      </c>
      <c r="D857" s="26" t="s">
        <v>95</v>
      </c>
      <c r="E857" s="71" t="s">
        <v>25</v>
      </c>
      <c r="F857" s="72">
        <f>(7.8*0.15*0.3)*2</f>
        <v>0.70199999999999996</v>
      </c>
      <c r="G857" s="11">
        <v>1000000</v>
      </c>
      <c r="H857" s="38">
        <v>0.8</v>
      </c>
      <c r="I857" s="31">
        <v>1.1479999999999999</v>
      </c>
      <c r="J857" s="223">
        <f t="shared" si="82"/>
        <v>645000</v>
      </c>
      <c r="K857" s="39">
        <f t="shared" si="80"/>
        <v>645000</v>
      </c>
      <c r="L857" s="262"/>
      <c r="M857" s="14"/>
    </row>
    <row r="858" spans="1:13" ht="61.5" customHeight="1" x14ac:dyDescent="0.3">
      <c r="A858" s="69"/>
      <c r="B858" s="8"/>
      <c r="C858" s="82" t="s">
        <v>126</v>
      </c>
      <c r="D858" s="34" t="s">
        <v>28</v>
      </c>
      <c r="E858" s="27" t="s">
        <v>23</v>
      </c>
      <c r="F858" s="72">
        <f>7.8*1</f>
        <v>7.8</v>
      </c>
      <c r="G858" s="11">
        <v>396000</v>
      </c>
      <c r="H858" s="38">
        <v>0.8</v>
      </c>
      <c r="I858" s="31">
        <v>1.1479999999999999</v>
      </c>
      <c r="J858" s="223">
        <f t="shared" si="82"/>
        <v>2837000</v>
      </c>
      <c r="K858" s="39">
        <f t="shared" si="80"/>
        <v>2837000</v>
      </c>
      <c r="L858" s="261">
        <f t="shared" ref="L858:L869" si="83">J858-K858</f>
        <v>0</v>
      </c>
      <c r="M858" s="14"/>
    </row>
    <row r="859" spans="1:13" ht="61.5" customHeight="1" x14ac:dyDescent="0.3">
      <c r="A859" s="69"/>
      <c r="B859" s="8"/>
      <c r="C859" s="83" t="s">
        <v>127</v>
      </c>
      <c r="D859" s="26" t="s">
        <v>56</v>
      </c>
      <c r="E859" s="27" t="s">
        <v>23</v>
      </c>
      <c r="F859" s="92">
        <f>7.6*2.8</f>
        <v>21.279999999999998</v>
      </c>
      <c r="G859" s="29">
        <v>735000</v>
      </c>
      <c r="H859" s="37">
        <v>0.8</v>
      </c>
      <c r="I859" s="31">
        <v>1.1479999999999999</v>
      </c>
      <c r="J859" s="223">
        <f t="shared" si="82"/>
        <v>14365000</v>
      </c>
      <c r="K859" s="39">
        <f t="shared" si="80"/>
        <v>14365000</v>
      </c>
      <c r="L859" s="261">
        <f t="shared" si="83"/>
        <v>0</v>
      </c>
      <c r="M859" s="14"/>
    </row>
    <row r="860" spans="1:13" ht="61.5" customHeight="1" x14ac:dyDescent="0.3">
      <c r="A860" s="117"/>
      <c r="B860" s="118"/>
      <c r="C860" s="82" t="s">
        <v>128</v>
      </c>
      <c r="D860" s="42" t="s">
        <v>54</v>
      </c>
      <c r="E860" s="27" t="s">
        <v>23</v>
      </c>
      <c r="F860" s="72">
        <f>(0.2*2.7)*3+2.6*1.1+1.1*22.7*7.8+2.2*1.2</f>
        <v>201.886</v>
      </c>
      <c r="G860" s="46">
        <v>213000</v>
      </c>
      <c r="H860" s="52">
        <v>0.8</v>
      </c>
      <c r="I860" s="57">
        <v>1.1479999999999999</v>
      </c>
      <c r="J860" s="223">
        <f t="shared" si="82"/>
        <v>39493000</v>
      </c>
      <c r="K860" s="39">
        <f t="shared" si="80"/>
        <v>39493000</v>
      </c>
      <c r="L860" s="261">
        <f t="shared" si="83"/>
        <v>0</v>
      </c>
      <c r="M860" s="14"/>
    </row>
    <row r="861" spans="1:13" ht="61.5" customHeight="1" x14ac:dyDescent="0.3">
      <c r="A861" s="69"/>
      <c r="B861" s="8"/>
      <c r="C861" s="82" t="s">
        <v>129</v>
      </c>
      <c r="D861" s="34" t="s">
        <v>52</v>
      </c>
      <c r="E861" s="96" t="s">
        <v>91</v>
      </c>
      <c r="F861" s="72">
        <f>1.2*2.7</f>
        <v>3.24</v>
      </c>
      <c r="G861" s="11" t="s">
        <v>53</v>
      </c>
      <c r="H861" s="52">
        <v>0.8</v>
      </c>
      <c r="I861" s="125">
        <v>1</v>
      </c>
      <c r="J861" s="223">
        <f t="shared" si="82"/>
        <v>612000</v>
      </c>
      <c r="K861" s="39">
        <f t="shared" si="80"/>
        <v>612000</v>
      </c>
      <c r="L861" s="261">
        <f t="shared" si="83"/>
        <v>0</v>
      </c>
      <c r="M861" s="14"/>
    </row>
    <row r="862" spans="1:13" ht="61.5" customHeight="1" x14ac:dyDescent="0.3">
      <c r="A862" s="69"/>
      <c r="B862" s="8"/>
      <c r="C862" s="82" t="s">
        <v>130</v>
      </c>
      <c r="D862" s="34" t="s">
        <v>29</v>
      </c>
      <c r="E862" s="27" t="s">
        <v>23</v>
      </c>
      <c r="F862" s="72">
        <f>4.2*0.35</f>
        <v>1.47</v>
      </c>
      <c r="G862" s="29">
        <v>792000</v>
      </c>
      <c r="H862" s="37">
        <v>0.8</v>
      </c>
      <c r="I862" s="31">
        <v>1.1479999999999999</v>
      </c>
      <c r="J862" s="223">
        <f t="shared" si="82"/>
        <v>1069000</v>
      </c>
      <c r="K862" s="39">
        <f t="shared" si="80"/>
        <v>1069000</v>
      </c>
      <c r="L862" s="261">
        <f t="shared" si="83"/>
        <v>0</v>
      </c>
      <c r="M862" s="14"/>
    </row>
    <row r="863" spans="1:13" ht="61.5" customHeight="1" x14ac:dyDescent="0.3">
      <c r="A863" s="69"/>
      <c r="B863" s="8"/>
      <c r="C863" s="82" t="s">
        <v>131</v>
      </c>
      <c r="D863" s="34" t="s">
        <v>66</v>
      </c>
      <c r="E863" s="27" t="s">
        <v>23</v>
      </c>
      <c r="F863" s="91">
        <f>7.1*0.3</f>
        <v>2.13</v>
      </c>
      <c r="G863" s="29">
        <v>339000</v>
      </c>
      <c r="H863" s="38">
        <v>0.8</v>
      </c>
      <c r="I863" s="31">
        <v>1.1479999999999999</v>
      </c>
      <c r="J863" s="223">
        <f t="shared" si="82"/>
        <v>663000</v>
      </c>
      <c r="K863" s="39">
        <f t="shared" si="80"/>
        <v>663000</v>
      </c>
      <c r="L863" s="261">
        <f t="shared" si="83"/>
        <v>0</v>
      </c>
      <c r="M863" s="14"/>
    </row>
    <row r="864" spans="1:13" ht="61.5" customHeight="1" x14ac:dyDescent="0.3">
      <c r="A864" s="104"/>
      <c r="B864" s="105"/>
      <c r="C864" s="113" t="s">
        <v>115</v>
      </c>
      <c r="D864" s="62" t="s">
        <v>44</v>
      </c>
      <c r="E864" s="126" t="s">
        <v>45</v>
      </c>
      <c r="F864" s="127">
        <v>8.5</v>
      </c>
      <c r="G864" s="46">
        <v>28000</v>
      </c>
      <c r="H864" s="66">
        <v>0.8</v>
      </c>
      <c r="I864" s="31">
        <v>1.1479999999999999</v>
      </c>
      <c r="J864" s="223">
        <f t="shared" si="82"/>
        <v>219000</v>
      </c>
      <c r="K864" s="39">
        <f t="shared" si="80"/>
        <v>219000</v>
      </c>
      <c r="L864" s="261">
        <f t="shared" si="83"/>
        <v>0</v>
      </c>
      <c r="M864" s="14"/>
    </row>
    <row r="865" spans="1:13" ht="61.5" customHeight="1" x14ac:dyDescent="0.3">
      <c r="A865" s="69"/>
      <c r="B865" s="8"/>
      <c r="C865" s="113" t="s">
        <v>114</v>
      </c>
      <c r="D865" s="42" t="s">
        <v>47</v>
      </c>
      <c r="E865" s="63" t="s">
        <v>45</v>
      </c>
      <c r="F865" s="127">
        <v>8.5</v>
      </c>
      <c r="G865" s="46">
        <v>28000</v>
      </c>
      <c r="H865" s="66">
        <v>0.8</v>
      </c>
      <c r="I865" s="31">
        <v>1.1479999999999999</v>
      </c>
      <c r="J865" s="223">
        <f t="shared" si="82"/>
        <v>219000</v>
      </c>
      <c r="K865" s="39">
        <f t="shared" si="80"/>
        <v>219000</v>
      </c>
      <c r="L865" s="261">
        <f t="shared" si="83"/>
        <v>0</v>
      </c>
      <c r="M865" s="14"/>
    </row>
    <row r="866" spans="1:13" ht="61.5" customHeight="1" x14ac:dyDescent="0.3">
      <c r="A866" s="67">
        <v>59</v>
      </c>
      <c r="B866" s="68" t="s">
        <v>132</v>
      </c>
      <c r="C866" s="433" t="s">
        <v>133</v>
      </c>
      <c r="D866" s="434"/>
      <c r="E866" s="434"/>
      <c r="F866" s="466"/>
      <c r="G866" s="434"/>
      <c r="H866" s="434"/>
      <c r="I866" s="467"/>
      <c r="J866" s="221">
        <f>SUM(J867:J876)</f>
        <v>558192000</v>
      </c>
      <c r="K866" s="39">
        <f t="shared" si="80"/>
        <v>0</v>
      </c>
      <c r="L866" s="261">
        <f t="shared" si="83"/>
        <v>558192000</v>
      </c>
      <c r="M866" s="14"/>
    </row>
    <row r="867" spans="1:13" ht="90" customHeight="1" x14ac:dyDescent="0.3">
      <c r="A867" s="67"/>
      <c r="B867" s="68"/>
      <c r="C867" s="20" t="s">
        <v>1046</v>
      </c>
      <c r="D867" s="26"/>
      <c r="E867" s="27" t="s">
        <v>23</v>
      </c>
      <c r="F867" s="35">
        <v>45.2</v>
      </c>
      <c r="G867" s="464" t="s">
        <v>1152</v>
      </c>
      <c r="H867" s="464"/>
      <c r="I867" s="465"/>
      <c r="J867" s="227"/>
      <c r="K867" s="39"/>
      <c r="L867" s="261">
        <f t="shared" si="83"/>
        <v>0</v>
      </c>
      <c r="M867" s="14"/>
    </row>
    <row r="868" spans="1:13" ht="72" customHeight="1" x14ac:dyDescent="0.3">
      <c r="A868" s="67"/>
      <c r="B868" s="68"/>
      <c r="C868" s="25" t="s">
        <v>134</v>
      </c>
      <c r="D868" s="9" t="s">
        <v>113</v>
      </c>
      <c r="E868" s="27" t="s">
        <v>23</v>
      </c>
      <c r="F868" s="41">
        <f>6.6*5.1</f>
        <v>33.659999999999997</v>
      </c>
      <c r="G868" s="29">
        <v>3224000</v>
      </c>
      <c r="H868" s="37">
        <v>0.8</v>
      </c>
      <c r="I868" s="124">
        <v>1.1479999999999999</v>
      </c>
      <c r="J868" s="223">
        <f t="shared" ref="J868:J876" si="84">ROUND(F868*G868*H868*I868,-3)</f>
        <v>99665000</v>
      </c>
      <c r="K868" s="39">
        <f t="shared" si="80"/>
        <v>99665000</v>
      </c>
      <c r="L868" s="261">
        <f t="shared" si="83"/>
        <v>0</v>
      </c>
      <c r="M868" s="14"/>
    </row>
    <row r="869" spans="1:13" ht="72" customHeight="1" x14ac:dyDescent="0.3">
      <c r="A869" s="67"/>
      <c r="B869" s="68"/>
      <c r="C869" s="25" t="s">
        <v>135</v>
      </c>
      <c r="D869" s="81" t="s">
        <v>136</v>
      </c>
      <c r="E869" s="27" t="s">
        <v>23</v>
      </c>
      <c r="F869" s="41">
        <f>13.2*3.9+4.8*0.6+8.6*4.2</f>
        <v>90.47999999999999</v>
      </c>
      <c r="G869" s="32">
        <v>5046000</v>
      </c>
      <c r="H869" s="37">
        <v>0.8</v>
      </c>
      <c r="I869" s="124">
        <v>1.1479999999999999</v>
      </c>
      <c r="J869" s="223">
        <f t="shared" si="84"/>
        <v>419307000</v>
      </c>
      <c r="K869" s="39">
        <f t="shared" si="80"/>
        <v>419307000</v>
      </c>
      <c r="L869" s="261">
        <f t="shared" si="83"/>
        <v>0</v>
      </c>
      <c r="M869" s="14"/>
    </row>
    <row r="870" spans="1:13" ht="61.5" customHeight="1" x14ac:dyDescent="0.3">
      <c r="A870" s="67"/>
      <c r="B870" s="68"/>
      <c r="C870" s="25" t="s">
        <v>137</v>
      </c>
      <c r="D870" s="34" t="s">
        <v>68</v>
      </c>
      <c r="E870" s="71" t="s">
        <v>23</v>
      </c>
      <c r="F870" s="28">
        <f>4.75*10.2</f>
        <v>48.449999999999996</v>
      </c>
      <c r="G870" s="46">
        <v>213000</v>
      </c>
      <c r="H870" s="37">
        <v>0.8</v>
      </c>
      <c r="I870" s="31">
        <v>1.1479999999999999</v>
      </c>
      <c r="J870" s="223">
        <f t="shared" si="84"/>
        <v>9478000</v>
      </c>
      <c r="K870" s="39">
        <f t="shared" si="80"/>
        <v>9478000</v>
      </c>
      <c r="L870" s="261"/>
      <c r="M870" s="14"/>
    </row>
    <row r="871" spans="1:13" ht="61.5" customHeight="1" x14ac:dyDescent="0.3">
      <c r="A871" s="67"/>
      <c r="B871" s="68"/>
      <c r="C871" s="25" t="s">
        <v>850</v>
      </c>
      <c r="D871" s="34" t="s">
        <v>51</v>
      </c>
      <c r="E871" s="27" t="s">
        <v>23</v>
      </c>
      <c r="F871" s="28">
        <f>2.2*5.1</f>
        <v>11.22</v>
      </c>
      <c r="G871" s="29">
        <v>453000</v>
      </c>
      <c r="H871" s="37">
        <v>0.8</v>
      </c>
      <c r="I871" s="31">
        <v>1.1479999999999999</v>
      </c>
      <c r="J871" s="223">
        <f t="shared" si="84"/>
        <v>4668000</v>
      </c>
      <c r="K871" s="39">
        <f t="shared" si="80"/>
        <v>4668000</v>
      </c>
      <c r="L871" s="262">
        <f t="shared" ref="L871:L888" si="85">J871-K871</f>
        <v>0</v>
      </c>
      <c r="M871" s="14"/>
    </row>
    <row r="872" spans="1:13" ht="61.5" customHeight="1" x14ac:dyDescent="0.3">
      <c r="A872" s="67"/>
      <c r="B872" s="68"/>
      <c r="C872" s="25" t="s">
        <v>138</v>
      </c>
      <c r="D872" s="42" t="s">
        <v>32</v>
      </c>
      <c r="E872" s="27" t="s">
        <v>23</v>
      </c>
      <c r="F872" s="28">
        <f>5.1*5.1</f>
        <v>26.009999999999998</v>
      </c>
      <c r="G872" s="29">
        <v>215000</v>
      </c>
      <c r="H872" s="43">
        <v>0.8</v>
      </c>
      <c r="I872" s="31">
        <v>1.1479999999999999</v>
      </c>
      <c r="J872" s="223">
        <f t="shared" si="84"/>
        <v>5136000</v>
      </c>
      <c r="K872" s="39">
        <f t="shared" si="80"/>
        <v>5136000</v>
      </c>
      <c r="L872" s="261">
        <f t="shared" si="85"/>
        <v>0</v>
      </c>
      <c r="M872" s="14"/>
    </row>
    <row r="873" spans="1:13" ht="61.5" customHeight="1" x14ac:dyDescent="0.3">
      <c r="A873" s="67"/>
      <c r="B873" s="68"/>
      <c r="C873" s="25" t="s">
        <v>139</v>
      </c>
      <c r="D873" s="34" t="s">
        <v>55</v>
      </c>
      <c r="E873" s="96" t="s">
        <v>91</v>
      </c>
      <c r="F873" s="35">
        <f>5.1*1.2</f>
        <v>6.1199999999999992</v>
      </c>
      <c r="G873" s="29">
        <v>905000</v>
      </c>
      <c r="H873" s="37">
        <v>0.8</v>
      </c>
      <c r="I873" s="79">
        <v>1.1479999999999999</v>
      </c>
      <c r="J873" s="223">
        <f t="shared" si="84"/>
        <v>5087000</v>
      </c>
      <c r="K873" s="39">
        <f t="shared" si="80"/>
        <v>5087000</v>
      </c>
      <c r="L873" s="261">
        <f t="shared" si="85"/>
        <v>0</v>
      </c>
      <c r="M873" s="14"/>
    </row>
    <row r="874" spans="1:13" ht="61.5" customHeight="1" x14ac:dyDescent="0.3">
      <c r="A874" s="67"/>
      <c r="B874" s="68"/>
      <c r="C874" s="25" t="s">
        <v>140</v>
      </c>
      <c r="D874" s="26" t="s">
        <v>56</v>
      </c>
      <c r="E874" s="27" t="s">
        <v>23</v>
      </c>
      <c r="F874" s="28">
        <f>2.4*3+4.8*3</f>
        <v>21.599999999999998</v>
      </c>
      <c r="G874" s="29">
        <v>735000</v>
      </c>
      <c r="H874" s="37">
        <v>0.8</v>
      </c>
      <c r="I874" s="31">
        <v>1.1479999999999999</v>
      </c>
      <c r="J874" s="223">
        <f t="shared" si="84"/>
        <v>14581000</v>
      </c>
      <c r="K874" s="39">
        <f t="shared" si="80"/>
        <v>14581000</v>
      </c>
      <c r="L874" s="261">
        <f t="shared" si="85"/>
        <v>0</v>
      </c>
      <c r="M874" s="14"/>
    </row>
    <row r="875" spans="1:13" ht="61.5" customHeight="1" x14ac:dyDescent="0.3">
      <c r="A875" s="67"/>
      <c r="B875" s="68"/>
      <c r="C875" s="25" t="s">
        <v>141</v>
      </c>
      <c r="D875" s="97" t="s">
        <v>92</v>
      </c>
      <c r="E875" s="27" t="s">
        <v>35</v>
      </c>
      <c r="F875" s="48">
        <v>1</v>
      </c>
      <c r="G875" s="11">
        <v>16590</v>
      </c>
      <c r="H875" s="50">
        <v>0.8</v>
      </c>
      <c r="I875" s="51">
        <v>1</v>
      </c>
      <c r="J875" s="223">
        <f t="shared" si="84"/>
        <v>13000</v>
      </c>
      <c r="K875" s="39">
        <f t="shared" si="80"/>
        <v>13000</v>
      </c>
      <c r="L875" s="261">
        <f t="shared" si="85"/>
        <v>0</v>
      </c>
      <c r="M875" s="14"/>
    </row>
    <row r="876" spans="1:13" ht="61.5" customHeight="1" x14ac:dyDescent="0.3">
      <c r="A876" s="67"/>
      <c r="B876" s="68"/>
      <c r="C876" s="25" t="s">
        <v>142</v>
      </c>
      <c r="D876" s="62" t="s">
        <v>44</v>
      </c>
      <c r="E876" s="63" t="s">
        <v>45</v>
      </c>
      <c r="F876" s="64">
        <v>10</v>
      </c>
      <c r="G876" s="46">
        <v>28000</v>
      </c>
      <c r="H876" s="66">
        <v>0.8</v>
      </c>
      <c r="I876" s="31">
        <v>1.1479999999999999</v>
      </c>
      <c r="J876" s="223">
        <f t="shared" si="84"/>
        <v>257000</v>
      </c>
      <c r="K876" s="39">
        <f t="shared" si="80"/>
        <v>257000</v>
      </c>
      <c r="L876" s="261">
        <f t="shared" si="85"/>
        <v>0</v>
      </c>
      <c r="M876" s="14"/>
    </row>
    <row r="877" spans="1:13" s="169" customFormat="1" ht="61.5" customHeight="1" x14ac:dyDescent="0.3">
      <c r="A877" s="108">
        <v>60</v>
      </c>
      <c r="B877" s="109" t="s">
        <v>143</v>
      </c>
      <c r="C877" s="455" t="s">
        <v>144</v>
      </c>
      <c r="D877" s="456"/>
      <c r="E877" s="456"/>
      <c r="F877" s="456"/>
      <c r="G877" s="456"/>
      <c r="H877" s="456"/>
      <c r="I877" s="457"/>
      <c r="J877" s="221">
        <f>SUM(J878:J896)</f>
        <v>307365000</v>
      </c>
      <c r="K877" s="39">
        <f t="shared" si="80"/>
        <v>0</v>
      </c>
      <c r="L877" s="261">
        <f t="shared" si="85"/>
        <v>307365000</v>
      </c>
      <c r="M877" s="24"/>
    </row>
    <row r="878" spans="1:13" ht="90" customHeight="1" x14ac:dyDescent="0.3">
      <c r="A878" s="67"/>
      <c r="B878" s="68"/>
      <c r="C878" s="20" t="s">
        <v>1047</v>
      </c>
      <c r="D878" s="26"/>
      <c r="E878" s="27" t="s">
        <v>23</v>
      </c>
      <c r="F878" s="35">
        <v>124.3</v>
      </c>
      <c r="G878" s="464" t="s">
        <v>1152</v>
      </c>
      <c r="H878" s="464"/>
      <c r="I878" s="465"/>
      <c r="J878" s="227"/>
      <c r="K878" s="39"/>
      <c r="L878" s="261">
        <f t="shared" si="85"/>
        <v>0</v>
      </c>
      <c r="M878" s="14"/>
    </row>
    <row r="879" spans="1:13" ht="72" customHeight="1" x14ac:dyDescent="0.3">
      <c r="A879" s="67"/>
      <c r="B879" s="68"/>
      <c r="C879" s="128" t="s">
        <v>145</v>
      </c>
      <c r="D879" s="9" t="s">
        <v>113</v>
      </c>
      <c r="E879" s="27" t="s">
        <v>23</v>
      </c>
      <c r="F879" s="133">
        <f>2.3*5.2+3*2.65+2.15*6.1</f>
        <v>33.024999999999991</v>
      </c>
      <c r="G879" s="130">
        <v>2975000</v>
      </c>
      <c r="H879" s="37">
        <v>0.8</v>
      </c>
      <c r="I879" s="131">
        <v>1.1479999999999999</v>
      </c>
      <c r="J879" s="229">
        <f t="shared" ref="J879:J896" si="86">ROUND(F879*G879*H879*I879,-3)</f>
        <v>90232000</v>
      </c>
      <c r="K879" s="39">
        <f t="shared" si="80"/>
        <v>90232000</v>
      </c>
      <c r="L879" s="261">
        <f t="shared" si="85"/>
        <v>0</v>
      </c>
      <c r="M879" s="14"/>
    </row>
    <row r="880" spans="1:13" ht="72" customHeight="1" x14ac:dyDescent="0.3">
      <c r="A880" s="67"/>
      <c r="B880" s="68"/>
      <c r="C880" s="128" t="s">
        <v>146</v>
      </c>
      <c r="D880" s="9" t="s">
        <v>113</v>
      </c>
      <c r="E880" s="27" t="s">
        <v>23</v>
      </c>
      <c r="F880" s="129">
        <f>3.2*7.1+2.65*0.7</f>
        <v>24.574999999999999</v>
      </c>
      <c r="G880" s="130">
        <v>2975000</v>
      </c>
      <c r="H880" s="37">
        <v>0.8</v>
      </c>
      <c r="I880" s="31">
        <v>1.1479999999999999</v>
      </c>
      <c r="J880" s="223">
        <f t="shared" si="86"/>
        <v>67145000</v>
      </c>
      <c r="K880" s="39">
        <f t="shared" si="80"/>
        <v>67145000</v>
      </c>
      <c r="L880" s="261">
        <f t="shared" si="85"/>
        <v>0</v>
      </c>
      <c r="M880" s="14"/>
    </row>
    <row r="881" spans="1:13" ht="72" customHeight="1" x14ac:dyDescent="0.3">
      <c r="A881" s="67"/>
      <c r="B881" s="68"/>
      <c r="C881" s="128" t="s">
        <v>147</v>
      </c>
      <c r="D881" s="81" t="s">
        <v>435</v>
      </c>
      <c r="E881" s="27" t="s">
        <v>23</v>
      </c>
      <c r="F881" s="129">
        <f>4.55*3.6</f>
        <v>16.38</v>
      </c>
      <c r="G881" s="130">
        <v>3371000</v>
      </c>
      <c r="H881" s="37">
        <v>0.8</v>
      </c>
      <c r="I881" s="31">
        <v>1.1479999999999999</v>
      </c>
      <c r="J881" s="223">
        <f t="shared" si="86"/>
        <v>50711000</v>
      </c>
      <c r="K881" s="39">
        <f t="shared" si="80"/>
        <v>50711000</v>
      </c>
      <c r="L881" s="261">
        <f t="shared" si="85"/>
        <v>0</v>
      </c>
      <c r="M881" s="14"/>
    </row>
    <row r="882" spans="1:13" ht="61.5" customHeight="1" x14ac:dyDescent="0.3">
      <c r="A882" s="67"/>
      <c r="B882" s="68"/>
      <c r="C882" s="128" t="s">
        <v>851</v>
      </c>
      <c r="D882" s="34" t="s">
        <v>51</v>
      </c>
      <c r="E882" s="27" t="s">
        <v>23</v>
      </c>
      <c r="F882" s="132">
        <f>10.2*2</f>
        <v>20.399999999999999</v>
      </c>
      <c r="G882" s="29">
        <v>453000</v>
      </c>
      <c r="H882" s="37">
        <v>0.8</v>
      </c>
      <c r="I882" s="31">
        <v>1.1479999999999999</v>
      </c>
      <c r="J882" s="223">
        <f t="shared" si="86"/>
        <v>8487000</v>
      </c>
      <c r="K882" s="39">
        <f t="shared" si="80"/>
        <v>8487000</v>
      </c>
      <c r="L882" s="261">
        <f t="shared" si="85"/>
        <v>0</v>
      </c>
      <c r="M882" s="14"/>
    </row>
    <row r="883" spans="1:13" ht="61.5" customHeight="1" x14ac:dyDescent="0.3">
      <c r="A883" s="67"/>
      <c r="B883" s="68"/>
      <c r="C883" s="128" t="s">
        <v>149</v>
      </c>
      <c r="D883" s="34" t="s">
        <v>31</v>
      </c>
      <c r="E883" s="27" t="s">
        <v>23</v>
      </c>
      <c r="F883" s="133">
        <f>9.6*4+3.3*2.4</f>
        <v>46.32</v>
      </c>
      <c r="G883" s="29">
        <v>339000</v>
      </c>
      <c r="H883" s="37">
        <v>0.8</v>
      </c>
      <c r="I883" s="31">
        <v>1.1479999999999999</v>
      </c>
      <c r="J883" s="223">
        <f t="shared" si="86"/>
        <v>14421000</v>
      </c>
      <c r="K883" s="39">
        <f t="shared" si="80"/>
        <v>14421000</v>
      </c>
      <c r="L883" s="261">
        <f t="shared" si="85"/>
        <v>0</v>
      </c>
      <c r="M883" s="14"/>
    </row>
    <row r="884" spans="1:13" ht="61.5" customHeight="1" x14ac:dyDescent="0.3">
      <c r="A884" s="67"/>
      <c r="B884" s="68"/>
      <c r="C884" s="128" t="s">
        <v>150</v>
      </c>
      <c r="D884" s="42" t="s">
        <v>32</v>
      </c>
      <c r="E884" s="27" t="s">
        <v>23</v>
      </c>
      <c r="F884" s="132">
        <f>10.2*5.35</f>
        <v>54.569999999999993</v>
      </c>
      <c r="G884" s="29">
        <v>215000</v>
      </c>
      <c r="H884" s="43">
        <v>0.8</v>
      </c>
      <c r="I884" s="31">
        <v>1.1479999999999999</v>
      </c>
      <c r="J884" s="223">
        <f t="shared" si="86"/>
        <v>10775000</v>
      </c>
      <c r="K884" s="39">
        <f t="shared" si="80"/>
        <v>10775000</v>
      </c>
      <c r="L884" s="261">
        <f t="shared" si="85"/>
        <v>0</v>
      </c>
      <c r="M884" s="14"/>
    </row>
    <row r="885" spans="1:13" ht="61.5" customHeight="1" x14ac:dyDescent="0.3">
      <c r="A885" s="67"/>
      <c r="B885" s="68"/>
      <c r="C885" s="128" t="s">
        <v>151</v>
      </c>
      <c r="D885" s="26" t="s">
        <v>95</v>
      </c>
      <c r="E885" s="71" t="s">
        <v>25</v>
      </c>
      <c r="F885" s="132">
        <f>(0.35*0.1*2.5)*2+(0.35*0.1*1.35)*2</f>
        <v>0.26949999999999996</v>
      </c>
      <c r="G885" s="11">
        <v>1000000</v>
      </c>
      <c r="H885" s="38">
        <v>0.8</v>
      </c>
      <c r="I885" s="31">
        <v>1.1479999999999999</v>
      </c>
      <c r="J885" s="223">
        <f t="shared" si="86"/>
        <v>248000</v>
      </c>
      <c r="K885" s="39">
        <f t="shared" si="80"/>
        <v>248000</v>
      </c>
      <c r="L885" s="261">
        <f t="shared" si="85"/>
        <v>0</v>
      </c>
      <c r="M885" s="14"/>
    </row>
    <row r="886" spans="1:13" ht="61.5" customHeight="1" x14ac:dyDescent="0.3">
      <c r="A886" s="67"/>
      <c r="B886" s="68"/>
      <c r="C886" s="128" t="s">
        <v>152</v>
      </c>
      <c r="D886" s="34" t="s">
        <v>28</v>
      </c>
      <c r="E886" s="27" t="s">
        <v>23</v>
      </c>
      <c r="F886" s="132">
        <f>0.9*2.5+0.9*1.35</f>
        <v>3.4649999999999999</v>
      </c>
      <c r="G886" s="11">
        <v>396000</v>
      </c>
      <c r="H886" s="38">
        <v>0.8</v>
      </c>
      <c r="I886" s="31">
        <v>1.1479999999999999</v>
      </c>
      <c r="J886" s="223">
        <f t="shared" si="86"/>
        <v>1260000</v>
      </c>
      <c r="K886" s="39">
        <f t="shared" si="80"/>
        <v>1260000</v>
      </c>
      <c r="L886" s="261">
        <f t="shared" si="85"/>
        <v>0</v>
      </c>
      <c r="M886" s="14"/>
    </row>
    <row r="887" spans="1:13" ht="61.5" customHeight="1" x14ac:dyDescent="0.3">
      <c r="A887" s="67"/>
      <c r="B887" s="68"/>
      <c r="C887" s="128" t="s">
        <v>865</v>
      </c>
      <c r="D887" s="34" t="s">
        <v>29</v>
      </c>
      <c r="E887" s="27" t="s">
        <v>23</v>
      </c>
      <c r="F887" s="129">
        <f>2.2*1+4*0.3</f>
        <v>3.4000000000000004</v>
      </c>
      <c r="G887" s="29">
        <v>792000</v>
      </c>
      <c r="H887" s="37">
        <v>0.8</v>
      </c>
      <c r="I887" s="31">
        <v>1.1479999999999999</v>
      </c>
      <c r="J887" s="223">
        <f t="shared" si="86"/>
        <v>2473000</v>
      </c>
      <c r="K887" s="39">
        <f t="shared" si="80"/>
        <v>2473000</v>
      </c>
      <c r="L887" s="261">
        <f t="shared" si="85"/>
        <v>0</v>
      </c>
      <c r="M887" s="14"/>
    </row>
    <row r="888" spans="1:13" ht="75.75" customHeight="1" x14ac:dyDescent="0.3">
      <c r="A888" s="67"/>
      <c r="B888" s="68"/>
      <c r="C888" s="128" t="s">
        <v>153</v>
      </c>
      <c r="D888" s="26" t="s">
        <v>24</v>
      </c>
      <c r="E888" s="84" t="s">
        <v>25</v>
      </c>
      <c r="F888" s="129">
        <f>6.85*0.9*0.05+6.85*1.35*0.15+2.5*1.1*0.15+2.3*1.2*0.15+1*0.4*0.1</f>
        <v>2.5618750000000001</v>
      </c>
      <c r="G888" s="86">
        <v>2828000</v>
      </c>
      <c r="H888" s="87">
        <v>0.8</v>
      </c>
      <c r="I888" s="31">
        <v>1.1479999999999999</v>
      </c>
      <c r="J888" s="223">
        <f t="shared" si="86"/>
        <v>6654000</v>
      </c>
      <c r="K888" s="39">
        <f t="shared" si="80"/>
        <v>6654000</v>
      </c>
      <c r="L888" s="261">
        <f t="shared" si="85"/>
        <v>0</v>
      </c>
      <c r="M888" s="14"/>
    </row>
    <row r="889" spans="1:13" ht="61.5" customHeight="1" x14ac:dyDescent="0.3">
      <c r="A889" s="67"/>
      <c r="B889" s="8"/>
      <c r="C889" s="134" t="s">
        <v>154</v>
      </c>
      <c r="D889" s="34" t="s">
        <v>55</v>
      </c>
      <c r="E889" s="27" t="s">
        <v>23</v>
      </c>
      <c r="F889" s="135">
        <f>3.2*2.2</f>
        <v>7.0400000000000009</v>
      </c>
      <c r="G889" s="29">
        <v>905000</v>
      </c>
      <c r="H889" s="37">
        <v>0.8</v>
      </c>
      <c r="I889" s="79">
        <v>1.1479999999999999</v>
      </c>
      <c r="J889" s="223">
        <f t="shared" si="86"/>
        <v>5851000</v>
      </c>
      <c r="K889" s="39">
        <f t="shared" si="80"/>
        <v>5851000</v>
      </c>
      <c r="L889" s="261"/>
      <c r="M889" s="14"/>
    </row>
    <row r="890" spans="1:13" ht="61.5" customHeight="1" x14ac:dyDescent="0.3">
      <c r="A890" s="67"/>
      <c r="B890" s="8"/>
      <c r="C890" s="128" t="s">
        <v>155</v>
      </c>
      <c r="D890" s="42" t="s">
        <v>54</v>
      </c>
      <c r="E890" s="27" t="s">
        <v>23</v>
      </c>
      <c r="F890" s="136">
        <f>3.2*1.8</f>
        <v>5.7600000000000007</v>
      </c>
      <c r="G890" s="46">
        <v>213000</v>
      </c>
      <c r="H890" s="52">
        <v>0.8</v>
      </c>
      <c r="I890" s="57">
        <v>1.1479999999999999</v>
      </c>
      <c r="J890" s="223">
        <f t="shared" si="86"/>
        <v>1127000</v>
      </c>
      <c r="K890" s="39">
        <f t="shared" si="80"/>
        <v>1127000</v>
      </c>
      <c r="L890" s="262">
        <f t="shared" ref="L890:L923" si="87">J890-K890</f>
        <v>0</v>
      </c>
      <c r="M890" s="14"/>
    </row>
    <row r="891" spans="1:13" ht="61.5" customHeight="1" x14ac:dyDescent="0.3">
      <c r="A891" s="211"/>
      <c r="B891" s="84"/>
      <c r="C891" s="128" t="s">
        <v>156</v>
      </c>
      <c r="D891" s="34" t="s">
        <v>28</v>
      </c>
      <c r="E891" s="27" t="s">
        <v>23</v>
      </c>
      <c r="F891" s="136">
        <f>(8*4)*3</f>
        <v>96</v>
      </c>
      <c r="G891" s="11">
        <v>396000</v>
      </c>
      <c r="H891" s="38">
        <v>0.8</v>
      </c>
      <c r="I891" s="31">
        <v>1.1479999999999999</v>
      </c>
      <c r="J891" s="223">
        <f t="shared" si="86"/>
        <v>34914000</v>
      </c>
      <c r="K891" s="39">
        <f t="shared" si="80"/>
        <v>34914000</v>
      </c>
      <c r="L891" s="261">
        <f t="shared" si="87"/>
        <v>0</v>
      </c>
      <c r="M891" s="14"/>
    </row>
    <row r="892" spans="1:13" ht="61.5" customHeight="1" x14ac:dyDescent="0.3">
      <c r="A892" s="211"/>
      <c r="B892" s="84"/>
      <c r="C892" s="128" t="s">
        <v>157</v>
      </c>
      <c r="D892" s="34" t="s">
        <v>66</v>
      </c>
      <c r="E892" s="27" t="s">
        <v>23</v>
      </c>
      <c r="F892" s="136">
        <f>8.5*1.2+5.3*1.2</f>
        <v>16.559999999999999</v>
      </c>
      <c r="G892" s="29">
        <v>339000</v>
      </c>
      <c r="H892" s="38">
        <v>0.8</v>
      </c>
      <c r="I892" s="31">
        <v>1.1479999999999999</v>
      </c>
      <c r="J892" s="223">
        <f t="shared" si="86"/>
        <v>5156000</v>
      </c>
      <c r="K892" s="39">
        <f t="shared" si="80"/>
        <v>5156000</v>
      </c>
      <c r="L892" s="261">
        <f t="shared" si="87"/>
        <v>0</v>
      </c>
      <c r="M892" s="14"/>
    </row>
    <row r="893" spans="1:13" s="169" customFormat="1" ht="61.5" customHeight="1" x14ac:dyDescent="0.3">
      <c r="A893" s="18"/>
      <c r="B893" s="183"/>
      <c r="C893" s="184" t="s">
        <v>158</v>
      </c>
      <c r="D893" s="185" t="s">
        <v>33</v>
      </c>
      <c r="E893" s="165" t="s">
        <v>23</v>
      </c>
      <c r="F893" s="186">
        <f>4.4*4</f>
        <v>17.600000000000001</v>
      </c>
      <c r="G893" s="100">
        <v>453000</v>
      </c>
      <c r="H893" s="43">
        <v>0.8</v>
      </c>
      <c r="I893" s="102">
        <v>1.1479999999999999</v>
      </c>
      <c r="J893" s="222">
        <f t="shared" si="86"/>
        <v>7322000</v>
      </c>
      <c r="K893" s="39">
        <f t="shared" si="80"/>
        <v>7322000</v>
      </c>
      <c r="L893" s="261">
        <f t="shared" si="87"/>
        <v>0</v>
      </c>
      <c r="M893" s="24"/>
    </row>
    <row r="894" spans="1:13" ht="61.5" customHeight="1" x14ac:dyDescent="0.3">
      <c r="A894" s="211"/>
      <c r="B894" s="84"/>
      <c r="C894" s="128" t="s">
        <v>159</v>
      </c>
      <c r="D894" s="58" t="s">
        <v>41</v>
      </c>
      <c r="E894" s="59" t="s">
        <v>42</v>
      </c>
      <c r="F894" s="214">
        <v>7</v>
      </c>
      <c r="G894" s="11">
        <v>10650</v>
      </c>
      <c r="H894" s="60">
        <v>1</v>
      </c>
      <c r="I894" s="61">
        <v>1</v>
      </c>
      <c r="J894" s="223">
        <f t="shared" si="86"/>
        <v>75000</v>
      </c>
      <c r="K894" s="39">
        <f t="shared" si="80"/>
        <v>75000</v>
      </c>
      <c r="L894" s="261">
        <f t="shared" si="87"/>
        <v>0</v>
      </c>
      <c r="M894" s="14"/>
    </row>
    <row r="895" spans="1:13" ht="61.5" customHeight="1" x14ac:dyDescent="0.3">
      <c r="A895" s="211"/>
      <c r="B895" s="84"/>
      <c r="C895" s="128" t="s">
        <v>160</v>
      </c>
      <c r="D895" s="62" t="s">
        <v>44</v>
      </c>
      <c r="E895" s="63" t="s">
        <v>45</v>
      </c>
      <c r="F895" s="138">
        <v>10</v>
      </c>
      <c r="G895" s="46">
        <v>28000</v>
      </c>
      <c r="H895" s="66">
        <v>0.8</v>
      </c>
      <c r="I895" s="31">
        <v>1.1479999999999999</v>
      </c>
      <c r="J895" s="223">
        <f t="shared" si="86"/>
        <v>257000</v>
      </c>
      <c r="K895" s="39">
        <f t="shared" si="80"/>
        <v>257000</v>
      </c>
      <c r="L895" s="261">
        <f t="shared" si="87"/>
        <v>0</v>
      </c>
      <c r="M895" s="14"/>
    </row>
    <row r="896" spans="1:13" ht="61.5" customHeight="1" x14ac:dyDescent="0.3">
      <c r="A896" s="211"/>
      <c r="B896" s="84"/>
      <c r="C896" s="128" t="s">
        <v>111</v>
      </c>
      <c r="D896" s="42" t="s">
        <v>47</v>
      </c>
      <c r="E896" s="63" t="s">
        <v>45</v>
      </c>
      <c r="F896" s="138">
        <v>10</v>
      </c>
      <c r="G896" s="46">
        <v>28000</v>
      </c>
      <c r="H896" s="66">
        <v>0.8</v>
      </c>
      <c r="I896" s="31">
        <v>1.1479999999999999</v>
      </c>
      <c r="J896" s="223">
        <f t="shared" si="86"/>
        <v>257000</v>
      </c>
      <c r="K896" s="39">
        <f t="shared" si="80"/>
        <v>257000</v>
      </c>
      <c r="L896" s="261">
        <f t="shared" si="87"/>
        <v>0</v>
      </c>
      <c r="M896" s="14"/>
    </row>
    <row r="897" spans="1:13" ht="61.5" customHeight="1" x14ac:dyDescent="0.3">
      <c r="A897" s="211">
        <v>61</v>
      </c>
      <c r="B897" s="17" t="s">
        <v>167</v>
      </c>
      <c r="C897" s="433" t="s">
        <v>168</v>
      </c>
      <c r="D897" s="434"/>
      <c r="E897" s="434"/>
      <c r="F897" s="434"/>
      <c r="G897" s="434"/>
      <c r="H897" s="434"/>
      <c r="I897" s="435"/>
      <c r="J897" s="221">
        <f>SUM(J898:J904)</f>
        <v>163311000</v>
      </c>
      <c r="K897" s="39">
        <f t="shared" si="80"/>
        <v>0</v>
      </c>
      <c r="L897" s="261">
        <f t="shared" si="87"/>
        <v>163311000</v>
      </c>
      <c r="M897" s="14"/>
    </row>
    <row r="898" spans="1:13" ht="90" customHeight="1" x14ac:dyDescent="0.3">
      <c r="A898" s="211"/>
      <c r="B898" s="17"/>
      <c r="C898" s="20" t="s">
        <v>169</v>
      </c>
      <c r="D898" s="26"/>
      <c r="E898" s="27" t="s">
        <v>23</v>
      </c>
      <c r="F898" s="35">
        <v>33.700000000000003</v>
      </c>
      <c r="G898" s="464" t="s">
        <v>1152</v>
      </c>
      <c r="H898" s="464"/>
      <c r="I898" s="465"/>
      <c r="J898" s="227"/>
      <c r="K898" s="39"/>
      <c r="L898" s="261">
        <f t="shared" si="87"/>
        <v>0</v>
      </c>
      <c r="M898" s="14"/>
    </row>
    <row r="899" spans="1:13" ht="72" customHeight="1" x14ac:dyDescent="0.3">
      <c r="A899" s="69"/>
      <c r="B899" s="8"/>
      <c r="C899" s="82" t="s">
        <v>170</v>
      </c>
      <c r="D899" s="9" t="s">
        <v>63</v>
      </c>
      <c r="E899" s="27" t="s">
        <v>23</v>
      </c>
      <c r="F899" s="89">
        <f>9.3*6</f>
        <v>55.800000000000004</v>
      </c>
      <c r="G899" s="29">
        <f>2975000-99000</f>
        <v>2876000</v>
      </c>
      <c r="H899" s="101">
        <v>0.8</v>
      </c>
      <c r="I899" s="102">
        <v>1.1479999999999999</v>
      </c>
      <c r="J899" s="223">
        <f t="shared" ref="J899:J904" si="88">ROUND(F899*G899*H899*I899,-3)</f>
        <v>147386000</v>
      </c>
      <c r="K899" s="39">
        <f t="shared" si="80"/>
        <v>147386000</v>
      </c>
      <c r="L899" s="261">
        <f t="shared" si="87"/>
        <v>0</v>
      </c>
      <c r="M899" s="14"/>
    </row>
    <row r="900" spans="1:13" ht="61.5" customHeight="1" x14ac:dyDescent="0.3">
      <c r="A900" s="69"/>
      <c r="B900" s="8"/>
      <c r="C900" s="82" t="s">
        <v>171</v>
      </c>
      <c r="D900" s="42" t="s">
        <v>32</v>
      </c>
      <c r="E900" s="27" t="s">
        <v>23</v>
      </c>
      <c r="F900" s="72">
        <f>3.2*6</f>
        <v>19.200000000000003</v>
      </c>
      <c r="G900" s="29">
        <v>215000</v>
      </c>
      <c r="H900" s="43">
        <v>0.8</v>
      </c>
      <c r="I900" s="31">
        <v>1.1479999999999999</v>
      </c>
      <c r="J900" s="223">
        <f t="shared" si="88"/>
        <v>3791000</v>
      </c>
      <c r="K900" s="39">
        <f t="shared" si="80"/>
        <v>3791000</v>
      </c>
      <c r="L900" s="261">
        <f t="shared" si="87"/>
        <v>0</v>
      </c>
      <c r="M900" s="14"/>
    </row>
    <row r="901" spans="1:13" ht="61.5" customHeight="1" x14ac:dyDescent="0.3">
      <c r="A901" s="69"/>
      <c r="B901" s="8"/>
      <c r="C901" s="82" t="s">
        <v>852</v>
      </c>
      <c r="D901" s="34" t="s">
        <v>51</v>
      </c>
      <c r="E901" s="27" t="s">
        <v>23</v>
      </c>
      <c r="F901" s="72">
        <f>2.4*6</f>
        <v>14.399999999999999</v>
      </c>
      <c r="G901" s="29">
        <v>453000</v>
      </c>
      <c r="H901" s="37">
        <v>0.8</v>
      </c>
      <c r="I901" s="31">
        <v>1.1479999999999999</v>
      </c>
      <c r="J901" s="223">
        <f t="shared" si="88"/>
        <v>5991000</v>
      </c>
      <c r="K901" s="39">
        <f t="shared" si="80"/>
        <v>5991000</v>
      </c>
      <c r="L901" s="261">
        <f t="shared" si="87"/>
        <v>0</v>
      </c>
      <c r="M901" s="14"/>
    </row>
    <row r="902" spans="1:13" ht="61.5" customHeight="1" x14ac:dyDescent="0.3">
      <c r="A902" s="69"/>
      <c r="B902" s="8"/>
      <c r="C902" s="82" t="s">
        <v>172</v>
      </c>
      <c r="D902" s="34" t="s">
        <v>31</v>
      </c>
      <c r="E902" s="27" t="s">
        <v>23</v>
      </c>
      <c r="F902" s="75">
        <f>2.4*6</f>
        <v>14.399999999999999</v>
      </c>
      <c r="G902" s="29">
        <v>339000</v>
      </c>
      <c r="H902" s="37">
        <v>0.8</v>
      </c>
      <c r="I902" s="31">
        <v>1.1479999999999999</v>
      </c>
      <c r="J902" s="223">
        <f t="shared" si="88"/>
        <v>4483000</v>
      </c>
      <c r="K902" s="39">
        <f t="shared" si="80"/>
        <v>4483000</v>
      </c>
      <c r="L902" s="261">
        <f t="shared" si="87"/>
        <v>0</v>
      </c>
      <c r="M902" s="14"/>
    </row>
    <row r="903" spans="1:13" ht="61.5" customHeight="1" x14ac:dyDescent="0.3">
      <c r="A903" s="69"/>
      <c r="B903" s="8"/>
      <c r="C903" s="82" t="s">
        <v>173</v>
      </c>
      <c r="D903" s="26" t="s">
        <v>24</v>
      </c>
      <c r="E903" s="84" t="s">
        <v>25</v>
      </c>
      <c r="F903" s="89">
        <f>6*0.6*0.15</f>
        <v>0.53999999999999992</v>
      </c>
      <c r="G903" s="86">
        <v>2828000</v>
      </c>
      <c r="H903" s="87">
        <v>0.8</v>
      </c>
      <c r="I903" s="31">
        <v>1.1479999999999999</v>
      </c>
      <c r="J903" s="223">
        <f t="shared" si="88"/>
        <v>1403000</v>
      </c>
      <c r="K903" s="39">
        <f t="shared" ref="K903:K966" si="89">ROUND(F903*G903*H903*I903,-3)</f>
        <v>1403000</v>
      </c>
      <c r="L903" s="261">
        <f t="shared" si="87"/>
        <v>0</v>
      </c>
      <c r="M903" s="14"/>
    </row>
    <row r="904" spans="1:13" ht="61.5" customHeight="1" x14ac:dyDescent="0.3">
      <c r="A904" s="69"/>
      <c r="B904" s="8"/>
      <c r="C904" s="82" t="s">
        <v>174</v>
      </c>
      <c r="D904" s="62" t="s">
        <v>44</v>
      </c>
      <c r="E904" s="63" t="s">
        <v>45</v>
      </c>
      <c r="F904" s="72">
        <v>10</v>
      </c>
      <c r="G904" s="46">
        <v>28000</v>
      </c>
      <c r="H904" s="66">
        <v>0.8</v>
      </c>
      <c r="I904" s="31">
        <v>1.1479999999999999</v>
      </c>
      <c r="J904" s="223">
        <f t="shared" si="88"/>
        <v>257000</v>
      </c>
      <c r="K904" s="39">
        <f t="shared" si="89"/>
        <v>257000</v>
      </c>
      <c r="L904" s="261">
        <f t="shared" si="87"/>
        <v>0</v>
      </c>
      <c r="M904" s="14"/>
    </row>
    <row r="905" spans="1:13" ht="61.5" customHeight="1" x14ac:dyDescent="0.3">
      <c r="A905" s="67">
        <v>62</v>
      </c>
      <c r="B905" s="68" t="s">
        <v>175</v>
      </c>
      <c r="C905" s="433" t="s">
        <v>176</v>
      </c>
      <c r="D905" s="434"/>
      <c r="E905" s="434"/>
      <c r="F905" s="434"/>
      <c r="G905" s="434"/>
      <c r="H905" s="434"/>
      <c r="I905" s="435"/>
      <c r="J905" s="221">
        <f>SUM(J906:J914)</f>
        <v>201363000</v>
      </c>
      <c r="K905" s="39">
        <f t="shared" si="89"/>
        <v>0</v>
      </c>
      <c r="L905" s="261">
        <f t="shared" si="87"/>
        <v>201363000</v>
      </c>
      <c r="M905" s="14"/>
    </row>
    <row r="906" spans="1:13" ht="90" customHeight="1" x14ac:dyDescent="0.3">
      <c r="A906" s="67"/>
      <c r="B906" s="68"/>
      <c r="C906" s="20" t="s">
        <v>177</v>
      </c>
      <c r="D906" s="26"/>
      <c r="E906" s="27" t="s">
        <v>23</v>
      </c>
      <c r="F906" s="35">
        <v>36.799999999999997</v>
      </c>
      <c r="G906" s="464" t="s">
        <v>1152</v>
      </c>
      <c r="H906" s="464"/>
      <c r="I906" s="465"/>
      <c r="J906" s="227"/>
      <c r="K906" s="39"/>
      <c r="L906" s="261">
        <f t="shared" si="87"/>
        <v>0</v>
      </c>
      <c r="M906" s="14"/>
    </row>
    <row r="907" spans="1:13" ht="72" customHeight="1" x14ac:dyDescent="0.3">
      <c r="A907" s="69"/>
      <c r="B907" s="8"/>
      <c r="C907" s="82" t="s">
        <v>178</v>
      </c>
      <c r="D907" s="81" t="s">
        <v>63</v>
      </c>
      <c r="E907" s="27" t="s">
        <v>23</v>
      </c>
      <c r="F907" s="75">
        <f>10.8*5.1</f>
        <v>55.08</v>
      </c>
      <c r="G907" s="11">
        <v>2975000</v>
      </c>
      <c r="H907" s="101">
        <v>0.8</v>
      </c>
      <c r="I907" s="102">
        <v>1.1479999999999999</v>
      </c>
      <c r="J907" s="223">
        <f t="shared" ref="J907:J914" si="90">ROUND(F907*G907*H907*I907,-3)</f>
        <v>150492000</v>
      </c>
      <c r="K907" s="39">
        <f t="shared" si="89"/>
        <v>150492000</v>
      </c>
      <c r="L907" s="261">
        <f t="shared" si="87"/>
        <v>0</v>
      </c>
      <c r="M907" s="14"/>
    </row>
    <row r="908" spans="1:13" ht="61.5" customHeight="1" x14ac:dyDescent="0.3">
      <c r="A908" s="69"/>
      <c r="B908" s="8"/>
      <c r="C908" s="82" t="s">
        <v>179</v>
      </c>
      <c r="D908" s="34" t="s">
        <v>80</v>
      </c>
      <c r="E908" s="71" t="s">
        <v>23</v>
      </c>
      <c r="F908" s="72">
        <f>9.5*4.8</f>
        <v>45.6</v>
      </c>
      <c r="G908" s="29">
        <v>385000</v>
      </c>
      <c r="H908" s="37">
        <v>0.8</v>
      </c>
      <c r="I908" s="31">
        <v>1.1479999999999999</v>
      </c>
      <c r="J908" s="223">
        <f t="shared" si="90"/>
        <v>16123000</v>
      </c>
      <c r="K908" s="39">
        <f t="shared" si="89"/>
        <v>16123000</v>
      </c>
      <c r="L908" s="261">
        <f t="shared" si="87"/>
        <v>0</v>
      </c>
      <c r="M908" s="14"/>
    </row>
    <row r="909" spans="1:13" ht="61.5" customHeight="1" x14ac:dyDescent="0.3">
      <c r="A909" s="69"/>
      <c r="B909" s="8"/>
      <c r="C909" s="82" t="s">
        <v>180</v>
      </c>
      <c r="D909" s="34" t="s">
        <v>66</v>
      </c>
      <c r="E909" s="27" t="s">
        <v>23</v>
      </c>
      <c r="F909" s="72">
        <f>(10.3*3.1)*2</f>
        <v>63.860000000000007</v>
      </c>
      <c r="G909" s="29">
        <v>339000</v>
      </c>
      <c r="H909" s="38">
        <v>0.8</v>
      </c>
      <c r="I909" s="31">
        <v>1.1479999999999999</v>
      </c>
      <c r="J909" s="223">
        <f t="shared" si="90"/>
        <v>19882000</v>
      </c>
      <c r="K909" s="39">
        <f t="shared" si="89"/>
        <v>19882000</v>
      </c>
      <c r="L909" s="261">
        <f t="shared" si="87"/>
        <v>0</v>
      </c>
      <c r="M909" s="14"/>
    </row>
    <row r="910" spans="1:13" ht="61.5" customHeight="1" x14ac:dyDescent="0.3">
      <c r="A910" s="69"/>
      <c r="B910" s="8"/>
      <c r="C910" s="82" t="s">
        <v>181</v>
      </c>
      <c r="D910" s="42" t="s">
        <v>54</v>
      </c>
      <c r="E910" s="27" t="s">
        <v>23</v>
      </c>
      <c r="F910" s="72">
        <f>1.5*4.8+4.7*5.1+(1.2*3)*2</f>
        <v>38.369999999999997</v>
      </c>
      <c r="G910" s="46">
        <v>213000</v>
      </c>
      <c r="H910" s="37">
        <v>0.8</v>
      </c>
      <c r="I910" s="79">
        <v>1.1479999999999999</v>
      </c>
      <c r="J910" s="223">
        <f t="shared" si="90"/>
        <v>7506000</v>
      </c>
      <c r="K910" s="39">
        <f t="shared" si="89"/>
        <v>7506000</v>
      </c>
      <c r="L910" s="261">
        <f t="shared" si="87"/>
        <v>0</v>
      </c>
      <c r="M910" s="14"/>
    </row>
    <row r="911" spans="1:13" ht="61.5" customHeight="1" x14ac:dyDescent="0.3">
      <c r="A911" s="69"/>
      <c r="B911" s="8"/>
      <c r="C911" s="82" t="s">
        <v>182</v>
      </c>
      <c r="D911" s="34" t="s">
        <v>31</v>
      </c>
      <c r="E911" s="27" t="s">
        <v>23</v>
      </c>
      <c r="F911" s="75">
        <f>2.6*5.1</f>
        <v>13.26</v>
      </c>
      <c r="G911" s="29">
        <v>339000</v>
      </c>
      <c r="H911" s="37">
        <v>0.8</v>
      </c>
      <c r="I911" s="31">
        <v>1.1479999999999999</v>
      </c>
      <c r="J911" s="223">
        <f t="shared" si="90"/>
        <v>4128000</v>
      </c>
      <c r="K911" s="39">
        <f t="shared" si="89"/>
        <v>4128000</v>
      </c>
      <c r="L911" s="261">
        <f t="shared" si="87"/>
        <v>0</v>
      </c>
      <c r="M911" s="14"/>
    </row>
    <row r="912" spans="1:13" ht="61.5" customHeight="1" x14ac:dyDescent="0.3">
      <c r="A912" s="69"/>
      <c r="B912" s="8"/>
      <c r="C912" s="82" t="s">
        <v>183</v>
      </c>
      <c r="D912" s="42" t="s">
        <v>32</v>
      </c>
      <c r="E912" s="27" t="s">
        <v>23</v>
      </c>
      <c r="F912" s="72">
        <f>2.8*5.1</f>
        <v>14.279999999999998</v>
      </c>
      <c r="G912" s="29">
        <v>215000</v>
      </c>
      <c r="H912" s="43">
        <v>0.8</v>
      </c>
      <c r="I912" s="31">
        <v>1.1479999999999999</v>
      </c>
      <c r="J912" s="223">
        <f t="shared" si="90"/>
        <v>2820000</v>
      </c>
      <c r="K912" s="39">
        <f t="shared" si="89"/>
        <v>2820000</v>
      </c>
      <c r="L912" s="261">
        <f t="shared" si="87"/>
        <v>0</v>
      </c>
      <c r="M912" s="14"/>
    </row>
    <row r="913" spans="1:13" ht="61.5" customHeight="1" x14ac:dyDescent="0.3">
      <c r="A913" s="69"/>
      <c r="B913" s="8"/>
      <c r="C913" s="82" t="s">
        <v>184</v>
      </c>
      <c r="D913" s="62" t="s">
        <v>44</v>
      </c>
      <c r="E913" s="63" t="s">
        <v>45</v>
      </c>
      <c r="F913" s="142">
        <v>8</v>
      </c>
      <c r="G913" s="46">
        <v>28000</v>
      </c>
      <c r="H913" s="66">
        <v>0.8</v>
      </c>
      <c r="I913" s="31">
        <v>1.1479999999999999</v>
      </c>
      <c r="J913" s="223">
        <f t="shared" si="90"/>
        <v>206000</v>
      </c>
      <c r="K913" s="39">
        <f t="shared" si="89"/>
        <v>206000</v>
      </c>
      <c r="L913" s="261">
        <f t="shared" si="87"/>
        <v>0</v>
      </c>
      <c r="M913" s="14"/>
    </row>
    <row r="914" spans="1:13" ht="61.5" customHeight="1" x14ac:dyDescent="0.3">
      <c r="A914" s="104"/>
      <c r="B914" s="105"/>
      <c r="C914" s="113" t="s">
        <v>185</v>
      </c>
      <c r="D914" s="42" t="s">
        <v>47</v>
      </c>
      <c r="E914" s="63" t="s">
        <v>45</v>
      </c>
      <c r="F914" s="127">
        <v>8</v>
      </c>
      <c r="G914" s="46">
        <v>28000</v>
      </c>
      <c r="H914" s="66">
        <v>0.8</v>
      </c>
      <c r="I914" s="31">
        <v>1.1479999999999999</v>
      </c>
      <c r="J914" s="223">
        <f t="shared" si="90"/>
        <v>206000</v>
      </c>
      <c r="K914" s="39">
        <f t="shared" si="89"/>
        <v>206000</v>
      </c>
      <c r="L914" s="261">
        <f t="shared" si="87"/>
        <v>0</v>
      </c>
      <c r="M914" s="14"/>
    </row>
    <row r="915" spans="1:13" ht="61.5" customHeight="1" x14ac:dyDescent="0.3">
      <c r="A915" s="110">
        <v>63</v>
      </c>
      <c r="B915" s="111" t="s">
        <v>189</v>
      </c>
      <c r="C915" s="433" t="s">
        <v>190</v>
      </c>
      <c r="D915" s="434"/>
      <c r="E915" s="434"/>
      <c r="F915" s="434"/>
      <c r="G915" s="434"/>
      <c r="H915" s="434"/>
      <c r="I915" s="435"/>
      <c r="J915" s="221">
        <f>SUM(J916:J937)</f>
        <v>96493000</v>
      </c>
      <c r="K915" s="39">
        <f t="shared" si="89"/>
        <v>0</v>
      </c>
      <c r="L915" s="261">
        <f t="shared" si="87"/>
        <v>96493000</v>
      </c>
      <c r="M915" s="14"/>
    </row>
    <row r="916" spans="1:13" ht="90" customHeight="1" x14ac:dyDescent="0.3">
      <c r="A916" s="67"/>
      <c r="B916" s="68"/>
      <c r="C916" s="20" t="s">
        <v>191</v>
      </c>
      <c r="D916" s="26"/>
      <c r="E916" s="27" t="s">
        <v>23</v>
      </c>
      <c r="F916" s="35">
        <v>59</v>
      </c>
      <c r="G916" s="464" t="s">
        <v>1152</v>
      </c>
      <c r="H916" s="464"/>
      <c r="I916" s="465"/>
      <c r="J916" s="227"/>
      <c r="K916" s="39"/>
      <c r="L916" s="261">
        <f t="shared" si="87"/>
        <v>0</v>
      </c>
      <c r="M916" s="14"/>
    </row>
    <row r="917" spans="1:13" ht="61.5" customHeight="1" x14ac:dyDescent="0.3">
      <c r="A917" s="69"/>
      <c r="B917" s="8"/>
      <c r="C917" s="82" t="s">
        <v>192</v>
      </c>
      <c r="D917" s="9" t="s">
        <v>88</v>
      </c>
      <c r="E917" s="8" t="s">
        <v>25</v>
      </c>
      <c r="F917" s="72">
        <f>(0.5*0.5*2.75)*2</f>
        <v>1.375</v>
      </c>
      <c r="G917" s="11">
        <v>2828000</v>
      </c>
      <c r="H917" s="37">
        <v>0.8</v>
      </c>
      <c r="I917" s="31">
        <v>1.1479999999999999</v>
      </c>
      <c r="J917" s="223">
        <f t="shared" ref="J917:J937" si="91">ROUND(F917*G917*H917*I917,-3)</f>
        <v>3571000</v>
      </c>
      <c r="K917" s="39">
        <f t="shared" si="89"/>
        <v>3571000</v>
      </c>
      <c r="L917" s="261">
        <f t="shared" si="87"/>
        <v>0</v>
      </c>
      <c r="M917" s="14"/>
    </row>
    <row r="918" spans="1:13" ht="61.5" customHeight="1" x14ac:dyDescent="0.3">
      <c r="A918" s="69"/>
      <c r="B918" s="8"/>
      <c r="C918" s="82" t="s">
        <v>193</v>
      </c>
      <c r="D918" s="26" t="s">
        <v>26</v>
      </c>
      <c r="E918" s="27" t="s">
        <v>23</v>
      </c>
      <c r="F918" s="89">
        <f>2.4*3.2</f>
        <v>7.68</v>
      </c>
      <c r="G918" s="29">
        <v>679000</v>
      </c>
      <c r="H918" s="30">
        <v>0.8</v>
      </c>
      <c r="I918" s="31">
        <v>1.1479999999999999</v>
      </c>
      <c r="J918" s="223">
        <f t="shared" si="91"/>
        <v>4789000</v>
      </c>
      <c r="K918" s="39">
        <f t="shared" si="89"/>
        <v>4789000</v>
      </c>
      <c r="L918" s="261">
        <f t="shared" si="87"/>
        <v>0</v>
      </c>
      <c r="M918" s="14"/>
    </row>
    <row r="919" spans="1:13" ht="61.5" customHeight="1" x14ac:dyDescent="0.3">
      <c r="A919" s="69"/>
      <c r="B919" s="8"/>
      <c r="C919" s="82" t="s">
        <v>194</v>
      </c>
      <c r="D919" s="26" t="s">
        <v>24</v>
      </c>
      <c r="E919" s="27" t="s">
        <v>25</v>
      </c>
      <c r="F919" s="72">
        <f>2.4*3.2</f>
        <v>7.68</v>
      </c>
      <c r="G919" s="29">
        <v>2828000</v>
      </c>
      <c r="H919" s="30">
        <v>0.8</v>
      </c>
      <c r="I919" s="31">
        <v>1.1479999999999999</v>
      </c>
      <c r="J919" s="223">
        <f t="shared" si="91"/>
        <v>19947000</v>
      </c>
      <c r="K919" s="39">
        <f t="shared" si="89"/>
        <v>19947000</v>
      </c>
      <c r="L919" s="261">
        <f t="shared" si="87"/>
        <v>0</v>
      </c>
      <c r="M919" s="14"/>
    </row>
    <row r="920" spans="1:13" ht="61.5" customHeight="1" x14ac:dyDescent="0.3">
      <c r="A920" s="69"/>
      <c r="B920" s="8"/>
      <c r="C920" s="82" t="s">
        <v>195</v>
      </c>
      <c r="D920" s="34" t="s">
        <v>29</v>
      </c>
      <c r="E920" s="27" t="s">
        <v>23</v>
      </c>
      <c r="F920" s="72">
        <f>7.65*1.35+4.1*1.35+1.7*1.35</f>
        <v>18.157499999999999</v>
      </c>
      <c r="G920" s="29">
        <v>792000</v>
      </c>
      <c r="H920" s="37">
        <v>0.8</v>
      </c>
      <c r="I920" s="31">
        <v>1.1479999999999999</v>
      </c>
      <c r="J920" s="223">
        <f t="shared" si="91"/>
        <v>13207000</v>
      </c>
      <c r="K920" s="39">
        <f t="shared" si="89"/>
        <v>13207000</v>
      </c>
      <c r="L920" s="261">
        <f t="shared" si="87"/>
        <v>0</v>
      </c>
      <c r="M920" s="14"/>
    </row>
    <row r="921" spans="1:13" ht="61.5" customHeight="1" x14ac:dyDescent="0.3">
      <c r="A921" s="69"/>
      <c r="B921" s="8"/>
      <c r="C921" s="82" t="s">
        <v>196</v>
      </c>
      <c r="D921" s="34" t="s">
        <v>30</v>
      </c>
      <c r="E921" s="96" t="s">
        <v>91</v>
      </c>
      <c r="F921" s="72">
        <f>2.5*1.8</f>
        <v>4.5</v>
      </c>
      <c r="G921" s="11">
        <v>679000</v>
      </c>
      <c r="H921" s="37">
        <v>0.8</v>
      </c>
      <c r="I921" s="79">
        <v>1.1479999999999999</v>
      </c>
      <c r="J921" s="223">
        <f t="shared" si="91"/>
        <v>2806000</v>
      </c>
      <c r="K921" s="39">
        <f t="shared" si="89"/>
        <v>2806000</v>
      </c>
      <c r="L921" s="261">
        <f t="shared" si="87"/>
        <v>0</v>
      </c>
      <c r="M921" s="14"/>
    </row>
    <row r="922" spans="1:13" ht="61.5" customHeight="1" x14ac:dyDescent="0.3">
      <c r="A922" s="69"/>
      <c r="B922" s="8"/>
      <c r="C922" s="82" t="s">
        <v>197</v>
      </c>
      <c r="D922" s="34" t="s">
        <v>52</v>
      </c>
      <c r="E922" s="27" t="s">
        <v>23</v>
      </c>
      <c r="F922" s="72">
        <f>7.85*0.9</f>
        <v>7.0649999999999995</v>
      </c>
      <c r="G922" s="11" t="s">
        <v>53</v>
      </c>
      <c r="H922" s="37">
        <v>0.8</v>
      </c>
      <c r="I922" s="79">
        <v>1.1479999999999999</v>
      </c>
      <c r="J922" s="223">
        <f t="shared" si="91"/>
        <v>1531000</v>
      </c>
      <c r="K922" s="39">
        <f t="shared" si="89"/>
        <v>1531000</v>
      </c>
      <c r="L922" s="261">
        <f t="shared" si="87"/>
        <v>0</v>
      </c>
      <c r="M922" s="14"/>
    </row>
    <row r="923" spans="1:13" ht="61.5" customHeight="1" x14ac:dyDescent="0.3">
      <c r="A923" s="69"/>
      <c r="B923" s="8"/>
      <c r="C923" s="82" t="s">
        <v>853</v>
      </c>
      <c r="D923" s="34" t="s">
        <v>51</v>
      </c>
      <c r="E923" s="27" t="s">
        <v>23</v>
      </c>
      <c r="F923" s="72">
        <f>7.5*7.1</f>
        <v>53.25</v>
      </c>
      <c r="G923" s="29">
        <v>453000</v>
      </c>
      <c r="H923" s="37">
        <v>0.8</v>
      </c>
      <c r="I923" s="31">
        <v>1.1479999999999999</v>
      </c>
      <c r="J923" s="223">
        <f t="shared" si="91"/>
        <v>22154000</v>
      </c>
      <c r="K923" s="39">
        <f t="shared" si="89"/>
        <v>22154000</v>
      </c>
      <c r="L923" s="261">
        <f t="shared" si="87"/>
        <v>0</v>
      </c>
      <c r="M923" s="14"/>
    </row>
    <row r="924" spans="1:13" ht="61.5" customHeight="1" x14ac:dyDescent="0.3">
      <c r="A924" s="69"/>
      <c r="B924" s="8"/>
      <c r="C924" s="143" t="s">
        <v>198</v>
      </c>
      <c r="D924" s="44" t="s">
        <v>33</v>
      </c>
      <c r="E924" s="27" t="s">
        <v>23</v>
      </c>
      <c r="F924" s="28">
        <f>5.8*0.9</f>
        <v>5.22</v>
      </c>
      <c r="G924" s="29">
        <v>453000</v>
      </c>
      <c r="H924" s="45">
        <v>0.8</v>
      </c>
      <c r="I924" s="31">
        <v>1.1479999999999999</v>
      </c>
      <c r="J924" s="223">
        <f t="shared" si="91"/>
        <v>2172000</v>
      </c>
      <c r="K924" s="39">
        <f t="shared" si="89"/>
        <v>2172000</v>
      </c>
      <c r="L924" s="261"/>
      <c r="M924" s="14"/>
    </row>
    <row r="925" spans="1:13" ht="61.5" customHeight="1" x14ac:dyDescent="0.3">
      <c r="A925" s="104"/>
      <c r="B925" s="105"/>
      <c r="C925" s="113" t="s">
        <v>199</v>
      </c>
      <c r="D925" s="26" t="s">
        <v>95</v>
      </c>
      <c r="E925" s="71" t="s">
        <v>25</v>
      </c>
      <c r="F925" s="123">
        <f>(4.75*0.12*0.35)*3</f>
        <v>0.59849999999999992</v>
      </c>
      <c r="G925" s="11">
        <v>1000000</v>
      </c>
      <c r="H925" s="38">
        <v>0.8</v>
      </c>
      <c r="I925" s="31">
        <v>1.1479999999999999</v>
      </c>
      <c r="J925" s="223">
        <f t="shared" si="91"/>
        <v>550000</v>
      </c>
      <c r="K925" s="39">
        <f t="shared" si="89"/>
        <v>550000</v>
      </c>
      <c r="L925" s="262">
        <f t="shared" ref="L925:L934" si="92">J925-K925</f>
        <v>0</v>
      </c>
      <c r="M925" s="14"/>
    </row>
    <row r="926" spans="1:13" ht="61.5" customHeight="1" x14ac:dyDescent="0.3">
      <c r="A926" s="69"/>
      <c r="B926" s="8"/>
      <c r="C926" s="82" t="s">
        <v>200</v>
      </c>
      <c r="D926" s="34" t="s">
        <v>66</v>
      </c>
      <c r="E926" s="27" t="s">
        <v>23</v>
      </c>
      <c r="F926" s="91">
        <f>(4.75*0.47)*3</f>
        <v>6.6974999999999998</v>
      </c>
      <c r="G926" s="29">
        <v>339000</v>
      </c>
      <c r="H926" s="38">
        <v>0.8</v>
      </c>
      <c r="I926" s="31">
        <v>1.1479999999999999</v>
      </c>
      <c r="J926" s="223">
        <f t="shared" si="91"/>
        <v>2085000</v>
      </c>
      <c r="K926" s="39">
        <f t="shared" si="89"/>
        <v>2085000</v>
      </c>
      <c r="L926" s="261">
        <f t="shared" si="92"/>
        <v>0</v>
      </c>
      <c r="M926" s="14"/>
    </row>
    <row r="927" spans="1:13" ht="61.5" customHeight="1" x14ac:dyDescent="0.3">
      <c r="A927" s="69"/>
      <c r="B927" s="8"/>
      <c r="C927" s="82" t="s">
        <v>871</v>
      </c>
      <c r="D927" s="34" t="s">
        <v>101</v>
      </c>
      <c r="E927" s="71" t="s">
        <v>23</v>
      </c>
      <c r="F927" s="75">
        <f>7.3*6.3+1.4*1.25</f>
        <v>47.739999999999995</v>
      </c>
      <c r="G927" s="29">
        <v>339000</v>
      </c>
      <c r="H927" s="37">
        <v>0.8</v>
      </c>
      <c r="I927" s="31">
        <v>1.1479999999999999</v>
      </c>
      <c r="J927" s="223">
        <f t="shared" si="91"/>
        <v>14863000</v>
      </c>
      <c r="K927" s="39">
        <f t="shared" si="89"/>
        <v>14863000</v>
      </c>
      <c r="L927" s="261">
        <f t="shared" si="92"/>
        <v>0</v>
      </c>
      <c r="M927" s="14"/>
    </row>
    <row r="928" spans="1:13" ht="61.5" customHeight="1" x14ac:dyDescent="0.3">
      <c r="A928" s="69"/>
      <c r="B928" s="8"/>
      <c r="C928" s="82" t="s">
        <v>201</v>
      </c>
      <c r="D928" s="42" t="s">
        <v>32</v>
      </c>
      <c r="E928" s="27" t="s">
        <v>23</v>
      </c>
      <c r="F928" s="72">
        <f>4.4*4.9</f>
        <v>21.560000000000002</v>
      </c>
      <c r="G928" s="29">
        <v>215000</v>
      </c>
      <c r="H928" s="43">
        <v>0.8</v>
      </c>
      <c r="I928" s="31">
        <v>1.1479999999999999</v>
      </c>
      <c r="J928" s="223">
        <f t="shared" si="91"/>
        <v>4257000</v>
      </c>
      <c r="K928" s="39">
        <f t="shared" si="89"/>
        <v>4257000</v>
      </c>
      <c r="L928" s="261">
        <f t="shared" si="92"/>
        <v>0</v>
      </c>
      <c r="M928" s="14"/>
    </row>
    <row r="929" spans="1:13" ht="61.5" customHeight="1" x14ac:dyDescent="0.3">
      <c r="A929" s="117"/>
      <c r="B929" s="118"/>
      <c r="C929" s="106" t="s">
        <v>202</v>
      </c>
      <c r="D929" s="42" t="s">
        <v>109</v>
      </c>
      <c r="E929" s="27" t="s">
        <v>35</v>
      </c>
      <c r="F929" s="147">
        <v>3</v>
      </c>
      <c r="G929" s="148">
        <v>3200</v>
      </c>
      <c r="H929" s="50">
        <v>1</v>
      </c>
      <c r="I929" s="51">
        <v>1</v>
      </c>
      <c r="J929" s="223">
        <f t="shared" si="91"/>
        <v>10000</v>
      </c>
      <c r="K929" s="39">
        <f t="shared" si="89"/>
        <v>10000</v>
      </c>
      <c r="L929" s="261">
        <f t="shared" si="92"/>
        <v>0</v>
      </c>
      <c r="M929" s="14"/>
    </row>
    <row r="930" spans="1:13" ht="61.5" customHeight="1" x14ac:dyDescent="0.3">
      <c r="A930" s="69"/>
      <c r="B930" s="8"/>
      <c r="C930" s="82" t="s">
        <v>203</v>
      </c>
      <c r="D930" s="26" t="s">
        <v>36</v>
      </c>
      <c r="E930" s="27" t="s">
        <v>35</v>
      </c>
      <c r="F930" s="74">
        <v>2</v>
      </c>
      <c r="G930" s="49">
        <v>213020</v>
      </c>
      <c r="H930" s="52">
        <v>1</v>
      </c>
      <c r="I930" s="53">
        <v>1</v>
      </c>
      <c r="J930" s="223">
        <f t="shared" si="91"/>
        <v>426000</v>
      </c>
      <c r="K930" s="39">
        <f t="shared" si="89"/>
        <v>426000</v>
      </c>
      <c r="L930" s="261">
        <f t="shared" si="92"/>
        <v>0</v>
      </c>
      <c r="M930" s="14"/>
    </row>
    <row r="931" spans="1:13" ht="61.5" customHeight="1" x14ac:dyDescent="0.3">
      <c r="A931" s="69"/>
      <c r="B931" s="8"/>
      <c r="C931" s="82" t="s">
        <v>204</v>
      </c>
      <c r="D931" s="42" t="s">
        <v>205</v>
      </c>
      <c r="E931" s="27" t="s">
        <v>35</v>
      </c>
      <c r="F931" s="98">
        <v>1</v>
      </c>
      <c r="G931" s="29">
        <v>123980</v>
      </c>
      <c r="H931" s="50">
        <v>1</v>
      </c>
      <c r="I931" s="51">
        <v>1</v>
      </c>
      <c r="J931" s="223">
        <f t="shared" si="91"/>
        <v>124000</v>
      </c>
      <c r="K931" s="39">
        <f t="shared" si="89"/>
        <v>124000</v>
      </c>
      <c r="L931" s="261">
        <f t="shared" si="92"/>
        <v>0</v>
      </c>
      <c r="M931" s="14"/>
    </row>
    <row r="932" spans="1:13" ht="61.5" customHeight="1" x14ac:dyDescent="0.3">
      <c r="A932" s="69"/>
      <c r="B932" s="8"/>
      <c r="C932" s="82" t="s">
        <v>206</v>
      </c>
      <c r="D932" s="26" t="s">
        <v>207</v>
      </c>
      <c r="E932" s="71" t="s">
        <v>23</v>
      </c>
      <c r="F932" s="72">
        <f>1.8*1.8</f>
        <v>3.24</v>
      </c>
      <c r="G932" s="29">
        <v>566000</v>
      </c>
      <c r="H932" s="30">
        <v>0.8</v>
      </c>
      <c r="I932" s="31">
        <v>1.1479999999999999</v>
      </c>
      <c r="J932" s="223">
        <f t="shared" si="91"/>
        <v>1684000</v>
      </c>
      <c r="K932" s="39">
        <f t="shared" si="89"/>
        <v>1684000</v>
      </c>
      <c r="L932" s="261">
        <f t="shared" si="92"/>
        <v>0</v>
      </c>
      <c r="M932" s="14"/>
    </row>
    <row r="933" spans="1:13" ht="61.5" customHeight="1" x14ac:dyDescent="0.3">
      <c r="A933" s="69"/>
      <c r="B933" s="8"/>
      <c r="C933" s="82" t="s">
        <v>208</v>
      </c>
      <c r="D933" s="58" t="s">
        <v>41</v>
      </c>
      <c r="E933" s="59" t="s">
        <v>42</v>
      </c>
      <c r="F933" s="98">
        <v>5</v>
      </c>
      <c r="G933" s="11">
        <v>10650</v>
      </c>
      <c r="H933" s="60">
        <v>1</v>
      </c>
      <c r="I933" s="61">
        <v>1</v>
      </c>
      <c r="J933" s="223">
        <f t="shared" si="91"/>
        <v>53000</v>
      </c>
      <c r="K933" s="39">
        <f t="shared" si="89"/>
        <v>53000</v>
      </c>
      <c r="L933" s="261">
        <f t="shared" si="92"/>
        <v>0</v>
      </c>
      <c r="M933" s="14"/>
    </row>
    <row r="934" spans="1:13" ht="61.5" customHeight="1" x14ac:dyDescent="0.3">
      <c r="A934" s="69"/>
      <c r="B934" s="8"/>
      <c r="C934" s="82" t="s">
        <v>209</v>
      </c>
      <c r="D934" s="47" t="s">
        <v>58</v>
      </c>
      <c r="E934" s="27" t="s">
        <v>35</v>
      </c>
      <c r="F934" s="98">
        <v>1</v>
      </c>
      <c r="G934" s="29">
        <v>1065100</v>
      </c>
      <c r="H934" s="50">
        <v>1</v>
      </c>
      <c r="I934" s="51">
        <v>1</v>
      </c>
      <c r="J934" s="223">
        <f t="shared" si="91"/>
        <v>1065000</v>
      </c>
      <c r="K934" s="39">
        <f t="shared" si="89"/>
        <v>1065000</v>
      </c>
      <c r="L934" s="261">
        <f t="shared" si="92"/>
        <v>0</v>
      </c>
      <c r="M934" s="14"/>
    </row>
    <row r="935" spans="1:13" ht="61.5" customHeight="1" x14ac:dyDescent="0.3">
      <c r="A935" s="69"/>
      <c r="B935" s="8"/>
      <c r="C935" s="82" t="s">
        <v>210</v>
      </c>
      <c r="D935" s="62" t="s">
        <v>44</v>
      </c>
      <c r="E935" s="63" t="s">
        <v>45</v>
      </c>
      <c r="F935" s="77">
        <v>7.5</v>
      </c>
      <c r="G935" s="46">
        <v>28000</v>
      </c>
      <c r="H935" s="66">
        <v>0.8</v>
      </c>
      <c r="I935" s="31">
        <v>1.1479999999999999</v>
      </c>
      <c r="J935" s="223">
        <f t="shared" si="91"/>
        <v>193000</v>
      </c>
      <c r="K935" s="39">
        <f t="shared" si="89"/>
        <v>193000</v>
      </c>
      <c r="L935" s="261"/>
      <c r="M935" s="14"/>
    </row>
    <row r="936" spans="1:13" ht="61.5" customHeight="1" x14ac:dyDescent="0.3">
      <c r="A936" s="69"/>
      <c r="B936" s="8"/>
      <c r="C936" s="82" t="s">
        <v>211</v>
      </c>
      <c r="D936" s="42" t="s">
        <v>47</v>
      </c>
      <c r="E936" s="63" t="s">
        <v>45</v>
      </c>
      <c r="F936" s="77">
        <v>7.5</v>
      </c>
      <c r="G936" s="46">
        <v>28000</v>
      </c>
      <c r="H936" s="56">
        <v>0.8</v>
      </c>
      <c r="I936" s="31">
        <v>1.1479999999999999</v>
      </c>
      <c r="J936" s="223">
        <f t="shared" si="91"/>
        <v>193000</v>
      </c>
      <c r="K936" s="39">
        <f t="shared" si="89"/>
        <v>193000</v>
      </c>
      <c r="L936" s="262">
        <f t="shared" ref="L936:L999" si="93">J936-K936</f>
        <v>0</v>
      </c>
      <c r="M936" s="14"/>
    </row>
    <row r="937" spans="1:13" ht="61.5" customHeight="1" x14ac:dyDescent="0.3">
      <c r="A937" s="69"/>
      <c r="B937" s="8"/>
      <c r="C937" s="82" t="s">
        <v>212</v>
      </c>
      <c r="D937" s="34" t="s">
        <v>52</v>
      </c>
      <c r="E937" s="96" t="s">
        <v>91</v>
      </c>
      <c r="F937" s="72">
        <f>2.5*1.5</f>
        <v>3.75</v>
      </c>
      <c r="G937" s="11" t="s">
        <v>53</v>
      </c>
      <c r="H937" s="37">
        <v>0.8</v>
      </c>
      <c r="I937" s="31">
        <v>1.1479999999999999</v>
      </c>
      <c r="J937" s="223">
        <f t="shared" si="91"/>
        <v>813000</v>
      </c>
      <c r="K937" s="39">
        <f t="shared" si="89"/>
        <v>813000</v>
      </c>
      <c r="L937" s="261">
        <f t="shared" si="93"/>
        <v>0</v>
      </c>
      <c r="M937" s="14"/>
    </row>
    <row r="938" spans="1:13" s="307" customFormat="1" ht="61.5" customHeight="1" x14ac:dyDescent="0.3">
      <c r="A938" s="303">
        <v>64</v>
      </c>
      <c r="B938" s="304" t="s">
        <v>930</v>
      </c>
      <c r="C938" s="480" t="s">
        <v>1154</v>
      </c>
      <c r="D938" s="481"/>
      <c r="E938" s="481"/>
      <c r="F938" s="481"/>
      <c r="G938" s="481"/>
      <c r="H938" s="481"/>
      <c r="I938" s="482"/>
      <c r="J938" s="295">
        <f>SUM(J939:J948)</f>
        <v>129780000</v>
      </c>
      <c r="K938" s="39">
        <f t="shared" si="89"/>
        <v>0</v>
      </c>
      <c r="L938" s="305">
        <f t="shared" si="93"/>
        <v>129780000</v>
      </c>
      <c r="M938" s="306"/>
    </row>
    <row r="939" spans="1:13" s="307" customFormat="1" ht="90" customHeight="1" x14ac:dyDescent="0.3">
      <c r="A939" s="308"/>
      <c r="B939" s="304"/>
      <c r="C939" s="128" t="s">
        <v>931</v>
      </c>
      <c r="D939" s="277"/>
      <c r="E939" s="182" t="s">
        <v>828</v>
      </c>
      <c r="F939" s="309">
        <v>31.5</v>
      </c>
      <c r="G939" s="453" t="s">
        <v>1043</v>
      </c>
      <c r="H939" s="453"/>
      <c r="I939" s="454"/>
      <c r="J939" s="310"/>
      <c r="K939" s="39"/>
      <c r="L939" s="305">
        <f t="shared" si="93"/>
        <v>0</v>
      </c>
      <c r="M939" s="306"/>
    </row>
    <row r="940" spans="1:13" s="307" customFormat="1" ht="91.5" customHeight="1" x14ac:dyDescent="0.3">
      <c r="A940" s="311"/>
      <c r="B940" s="250"/>
      <c r="C940" s="143" t="s">
        <v>932</v>
      </c>
      <c r="D940" s="312" t="s">
        <v>113</v>
      </c>
      <c r="E940" s="182" t="s">
        <v>828</v>
      </c>
      <c r="F940" s="313">
        <f>5*5.7</f>
        <v>28.5</v>
      </c>
      <c r="G940" s="314">
        <v>3224000</v>
      </c>
      <c r="H940" s="292">
        <v>0.8</v>
      </c>
      <c r="I940" s="131">
        <v>1.1479999999999999</v>
      </c>
      <c r="J940" s="229">
        <f t="shared" ref="J940:J948" si="94">ROUND(F940*G940*H940*I940,-3)</f>
        <v>84386000</v>
      </c>
      <c r="K940" s="39">
        <f t="shared" si="89"/>
        <v>84386000</v>
      </c>
      <c r="L940" s="305">
        <f t="shared" si="93"/>
        <v>0</v>
      </c>
      <c r="M940" s="306"/>
    </row>
    <row r="941" spans="1:13" s="307" customFormat="1" ht="61.5" customHeight="1" x14ac:dyDescent="0.3">
      <c r="A941" s="311"/>
      <c r="B941" s="250"/>
      <c r="C941" s="143" t="s">
        <v>933</v>
      </c>
      <c r="D941" s="283" t="s">
        <v>80</v>
      </c>
      <c r="E941" s="315" t="s">
        <v>828</v>
      </c>
      <c r="F941" s="313">
        <f>5.7*4.75</f>
        <v>27.074999999999999</v>
      </c>
      <c r="G941" s="314">
        <v>385000</v>
      </c>
      <c r="H941" s="292">
        <v>0.8</v>
      </c>
      <c r="I941" s="131">
        <v>1.1479999999999999</v>
      </c>
      <c r="J941" s="229">
        <f t="shared" si="94"/>
        <v>9573000</v>
      </c>
      <c r="K941" s="39">
        <f t="shared" si="89"/>
        <v>9573000</v>
      </c>
      <c r="L941" s="305">
        <f t="shared" si="93"/>
        <v>0</v>
      </c>
      <c r="M941" s="306"/>
    </row>
    <row r="942" spans="1:13" s="307" customFormat="1" ht="61.5" customHeight="1" x14ac:dyDescent="0.3">
      <c r="A942" s="311"/>
      <c r="B942" s="250"/>
      <c r="C942" s="143" t="s">
        <v>934</v>
      </c>
      <c r="D942" s="277" t="s">
        <v>56</v>
      </c>
      <c r="E942" s="182" t="s">
        <v>828</v>
      </c>
      <c r="F942" s="313">
        <f>4.7*3.4</f>
        <v>15.98</v>
      </c>
      <c r="G942" s="314">
        <v>735000</v>
      </c>
      <c r="H942" s="292">
        <v>0.8</v>
      </c>
      <c r="I942" s="131">
        <v>1.1479999999999999</v>
      </c>
      <c r="J942" s="229">
        <f t="shared" si="94"/>
        <v>10787000</v>
      </c>
      <c r="K942" s="39">
        <f t="shared" si="89"/>
        <v>10787000</v>
      </c>
      <c r="L942" s="305">
        <f t="shared" si="93"/>
        <v>0</v>
      </c>
      <c r="M942" s="306"/>
    </row>
    <row r="943" spans="1:13" s="307" customFormat="1" ht="61.5" customHeight="1" x14ac:dyDescent="0.3">
      <c r="A943" s="311"/>
      <c r="B943" s="250"/>
      <c r="C943" s="143" t="s">
        <v>935</v>
      </c>
      <c r="D943" s="277" t="s">
        <v>95</v>
      </c>
      <c r="E943" s="315" t="s">
        <v>1037</v>
      </c>
      <c r="F943" s="316">
        <f>(0.3*0.15*5)*3</f>
        <v>0.67499999999999993</v>
      </c>
      <c r="G943" s="317">
        <v>1000000</v>
      </c>
      <c r="H943" s="292">
        <v>0.8</v>
      </c>
      <c r="I943" s="131">
        <v>1.1479999999999999</v>
      </c>
      <c r="J943" s="229">
        <f t="shared" si="94"/>
        <v>620000</v>
      </c>
      <c r="K943" s="39">
        <f t="shared" si="89"/>
        <v>620000</v>
      </c>
      <c r="L943" s="305">
        <f t="shared" si="93"/>
        <v>0</v>
      </c>
      <c r="M943" s="306"/>
    </row>
    <row r="944" spans="1:13" s="307" customFormat="1" ht="61.5" customHeight="1" x14ac:dyDescent="0.3">
      <c r="A944" s="311"/>
      <c r="B944" s="250"/>
      <c r="C944" s="143" t="s">
        <v>936</v>
      </c>
      <c r="D944" s="283" t="s">
        <v>28</v>
      </c>
      <c r="E944" s="182" t="s">
        <v>828</v>
      </c>
      <c r="F944" s="313">
        <f>(0.45*5)*3</f>
        <v>6.75</v>
      </c>
      <c r="G944" s="317">
        <v>396000</v>
      </c>
      <c r="H944" s="292">
        <v>0.8</v>
      </c>
      <c r="I944" s="131">
        <v>1.1479999999999999</v>
      </c>
      <c r="J944" s="229">
        <f t="shared" si="94"/>
        <v>2455000</v>
      </c>
      <c r="K944" s="39">
        <f t="shared" si="89"/>
        <v>2455000</v>
      </c>
      <c r="L944" s="305">
        <f t="shared" si="93"/>
        <v>0</v>
      </c>
      <c r="M944" s="306"/>
    </row>
    <row r="945" spans="1:13" s="307" customFormat="1" ht="61.5" customHeight="1" x14ac:dyDescent="0.3">
      <c r="A945" s="311"/>
      <c r="B945" s="250"/>
      <c r="C945" s="143" t="s">
        <v>937</v>
      </c>
      <c r="D945" s="283" t="s">
        <v>31</v>
      </c>
      <c r="E945" s="182" t="s">
        <v>828</v>
      </c>
      <c r="F945" s="313">
        <f>5.9*5</f>
        <v>29.5</v>
      </c>
      <c r="G945" s="314">
        <v>339000</v>
      </c>
      <c r="H945" s="292">
        <v>0.8</v>
      </c>
      <c r="I945" s="131">
        <v>1.1479999999999999</v>
      </c>
      <c r="J945" s="229">
        <f t="shared" si="94"/>
        <v>9184000</v>
      </c>
      <c r="K945" s="39">
        <f t="shared" si="89"/>
        <v>9184000</v>
      </c>
      <c r="L945" s="305">
        <f t="shared" si="93"/>
        <v>0</v>
      </c>
      <c r="M945" s="306"/>
    </row>
    <row r="946" spans="1:13" s="307" customFormat="1" ht="61.5" customHeight="1" x14ac:dyDescent="0.3">
      <c r="A946" s="311"/>
      <c r="B946" s="250"/>
      <c r="C946" s="143" t="s">
        <v>938</v>
      </c>
      <c r="D946" s="283" t="s">
        <v>55</v>
      </c>
      <c r="E946" s="182" t="s">
        <v>828</v>
      </c>
      <c r="F946" s="313">
        <f>5*3</f>
        <v>15</v>
      </c>
      <c r="G946" s="314">
        <v>905000</v>
      </c>
      <c r="H946" s="292">
        <v>0.8</v>
      </c>
      <c r="I946" s="318">
        <v>1.1479999999999999</v>
      </c>
      <c r="J946" s="229">
        <f t="shared" si="94"/>
        <v>12467000</v>
      </c>
      <c r="K946" s="39">
        <f t="shared" si="89"/>
        <v>12467000</v>
      </c>
      <c r="L946" s="305">
        <f t="shared" si="93"/>
        <v>0</v>
      </c>
      <c r="M946" s="306"/>
    </row>
    <row r="947" spans="1:13" s="307" customFormat="1" ht="61.5" customHeight="1" x14ac:dyDescent="0.3">
      <c r="A947" s="311"/>
      <c r="B947" s="250"/>
      <c r="C947" s="143" t="s">
        <v>43</v>
      </c>
      <c r="D947" s="277" t="s">
        <v>44</v>
      </c>
      <c r="E947" s="182" t="s">
        <v>45</v>
      </c>
      <c r="F947" s="313">
        <v>6</v>
      </c>
      <c r="G947" s="314">
        <v>28000</v>
      </c>
      <c r="H947" s="292">
        <v>0.8</v>
      </c>
      <c r="I947" s="131">
        <v>1.1479999999999999</v>
      </c>
      <c r="J947" s="229">
        <f t="shared" si="94"/>
        <v>154000</v>
      </c>
      <c r="K947" s="39">
        <f t="shared" si="89"/>
        <v>154000</v>
      </c>
      <c r="L947" s="305">
        <f t="shared" si="93"/>
        <v>0</v>
      </c>
      <c r="M947" s="306"/>
    </row>
    <row r="948" spans="1:13" s="307" customFormat="1" ht="61.5" customHeight="1" x14ac:dyDescent="0.3">
      <c r="A948" s="311"/>
      <c r="B948" s="250"/>
      <c r="C948" s="143" t="s">
        <v>46</v>
      </c>
      <c r="D948" s="277" t="s">
        <v>47</v>
      </c>
      <c r="E948" s="182" t="s">
        <v>45</v>
      </c>
      <c r="F948" s="319">
        <v>6</v>
      </c>
      <c r="G948" s="314">
        <v>28000</v>
      </c>
      <c r="H948" s="292">
        <v>0.8</v>
      </c>
      <c r="I948" s="131">
        <v>1.1479999999999999</v>
      </c>
      <c r="J948" s="229">
        <f t="shared" si="94"/>
        <v>154000</v>
      </c>
      <c r="K948" s="39">
        <f t="shared" si="89"/>
        <v>154000</v>
      </c>
      <c r="L948" s="305">
        <f t="shared" si="93"/>
        <v>0</v>
      </c>
      <c r="M948" s="306"/>
    </row>
    <row r="949" spans="1:13" s="307" customFormat="1" ht="61.5" customHeight="1" x14ac:dyDescent="0.3">
      <c r="A949" s="303">
        <v>65</v>
      </c>
      <c r="B949" s="304" t="s">
        <v>939</v>
      </c>
      <c r="C949" s="480" t="s">
        <v>1155</v>
      </c>
      <c r="D949" s="481"/>
      <c r="E949" s="481"/>
      <c r="F949" s="481"/>
      <c r="G949" s="481"/>
      <c r="H949" s="481"/>
      <c r="I949" s="482"/>
      <c r="J949" s="295">
        <f>SUM(J950:J958)</f>
        <v>92432000</v>
      </c>
      <c r="K949" s="39">
        <f t="shared" si="89"/>
        <v>0</v>
      </c>
      <c r="L949" s="305">
        <f t="shared" si="93"/>
        <v>92432000</v>
      </c>
      <c r="M949" s="306"/>
    </row>
    <row r="950" spans="1:13" s="307" customFormat="1" ht="90" customHeight="1" x14ac:dyDescent="0.3">
      <c r="A950" s="308"/>
      <c r="B950" s="304"/>
      <c r="C950" s="128" t="s">
        <v>940</v>
      </c>
      <c r="D950" s="277"/>
      <c r="E950" s="182" t="s">
        <v>828</v>
      </c>
      <c r="F950" s="309">
        <v>23.7</v>
      </c>
      <c r="G950" s="453" t="s">
        <v>1043</v>
      </c>
      <c r="H950" s="453"/>
      <c r="I950" s="454"/>
      <c r="J950" s="310"/>
      <c r="K950" s="39"/>
      <c r="L950" s="305">
        <f t="shared" si="93"/>
        <v>0</v>
      </c>
      <c r="M950" s="306"/>
    </row>
    <row r="951" spans="1:13" s="307" customFormat="1" ht="61.5" customHeight="1" x14ac:dyDescent="0.3">
      <c r="A951" s="311"/>
      <c r="B951" s="250"/>
      <c r="C951" s="143" t="s">
        <v>941</v>
      </c>
      <c r="D951" s="312" t="s">
        <v>88</v>
      </c>
      <c r="E951" s="250" t="s">
        <v>1037</v>
      </c>
      <c r="F951" s="320">
        <f>(0.4*0.4*2)*2</f>
        <v>0.64000000000000012</v>
      </c>
      <c r="G951" s="317">
        <v>2828000</v>
      </c>
      <c r="H951" s="292">
        <v>0.8</v>
      </c>
      <c r="I951" s="131">
        <v>1.1479999999999999</v>
      </c>
      <c r="J951" s="229">
        <f t="shared" ref="J951:J958" si="95">ROUND(F951*G951*H951*I951,-3)</f>
        <v>1662000</v>
      </c>
      <c r="K951" s="39">
        <f t="shared" si="89"/>
        <v>1662000</v>
      </c>
      <c r="L951" s="305">
        <f t="shared" si="93"/>
        <v>0</v>
      </c>
      <c r="M951" s="306"/>
    </row>
    <row r="952" spans="1:13" s="307" customFormat="1" ht="61.5" customHeight="1" x14ac:dyDescent="0.3">
      <c r="A952" s="311"/>
      <c r="B952" s="250"/>
      <c r="C952" s="143" t="s">
        <v>942</v>
      </c>
      <c r="D952" s="277" t="s">
        <v>207</v>
      </c>
      <c r="E952" s="315" t="s">
        <v>828</v>
      </c>
      <c r="F952" s="313">
        <f>2*1.8</f>
        <v>3.6</v>
      </c>
      <c r="G952" s="314">
        <v>566000</v>
      </c>
      <c r="H952" s="292">
        <v>0.8</v>
      </c>
      <c r="I952" s="131">
        <v>1.1479999999999999</v>
      </c>
      <c r="J952" s="229">
        <f t="shared" si="95"/>
        <v>1871000</v>
      </c>
      <c r="K952" s="39">
        <f t="shared" si="89"/>
        <v>1871000</v>
      </c>
      <c r="L952" s="305">
        <f t="shared" si="93"/>
        <v>0</v>
      </c>
      <c r="M952" s="306"/>
    </row>
    <row r="953" spans="1:13" s="307" customFormat="1" ht="61.5" customHeight="1" x14ac:dyDescent="0.3">
      <c r="A953" s="311"/>
      <c r="B953" s="250"/>
      <c r="C953" s="143" t="s">
        <v>943</v>
      </c>
      <c r="D953" s="277" t="s">
        <v>89</v>
      </c>
      <c r="E953" s="315" t="s">
        <v>828</v>
      </c>
      <c r="F953" s="313">
        <f>5.5*1.2</f>
        <v>6.6</v>
      </c>
      <c r="G953" s="314">
        <v>11000</v>
      </c>
      <c r="H953" s="292">
        <v>0.8</v>
      </c>
      <c r="I953" s="131">
        <v>1.1479999999999999</v>
      </c>
      <c r="J953" s="229">
        <f t="shared" si="95"/>
        <v>67000</v>
      </c>
      <c r="K953" s="39">
        <f t="shared" si="89"/>
        <v>67000</v>
      </c>
      <c r="L953" s="305">
        <f t="shared" si="93"/>
        <v>0</v>
      </c>
      <c r="M953" s="306"/>
    </row>
    <row r="954" spans="1:13" s="307" customFormat="1" ht="61.5" customHeight="1" x14ac:dyDescent="0.3">
      <c r="A954" s="311"/>
      <c r="B954" s="250"/>
      <c r="C954" s="143" t="s">
        <v>944</v>
      </c>
      <c r="D954" s="283" t="s">
        <v>29</v>
      </c>
      <c r="E954" s="182" t="s">
        <v>828</v>
      </c>
      <c r="F954" s="316">
        <f>1.2*1.1</f>
        <v>1.32</v>
      </c>
      <c r="G954" s="314">
        <v>792000</v>
      </c>
      <c r="H954" s="292">
        <v>0.8</v>
      </c>
      <c r="I954" s="131">
        <v>1.1479999999999999</v>
      </c>
      <c r="J954" s="229">
        <f t="shared" si="95"/>
        <v>960000</v>
      </c>
      <c r="K954" s="39">
        <f t="shared" si="89"/>
        <v>960000</v>
      </c>
      <c r="L954" s="305">
        <f t="shared" si="93"/>
        <v>0</v>
      </c>
      <c r="M954" s="306"/>
    </row>
    <row r="955" spans="1:13" s="307" customFormat="1" ht="61.5" customHeight="1" x14ac:dyDescent="0.3">
      <c r="A955" s="311"/>
      <c r="B955" s="250"/>
      <c r="C955" s="143" t="s">
        <v>945</v>
      </c>
      <c r="D955" s="283" t="s">
        <v>51</v>
      </c>
      <c r="E955" s="182" t="s">
        <v>828</v>
      </c>
      <c r="F955" s="316">
        <f>4.55*4</f>
        <v>18.2</v>
      </c>
      <c r="G955" s="314">
        <v>453000</v>
      </c>
      <c r="H955" s="292">
        <v>0.8</v>
      </c>
      <c r="I955" s="131">
        <v>1.1479999999999999</v>
      </c>
      <c r="J955" s="229">
        <f t="shared" si="95"/>
        <v>7572000</v>
      </c>
      <c r="K955" s="39">
        <f t="shared" si="89"/>
        <v>7572000</v>
      </c>
      <c r="L955" s="305">
        <f t="shared" si="93"/>
        <v>0</v>
      </c>
      <c r="M955" s="306"/>
    </row>
    <row r="956" spans="1:13" s="307" customFormat="1" ht="61.5" customHeight="1" x14ac:dyDescent="0.3">
      <c r="A956" s="311"/>
      <c r="B956" s="250"/>
      <c r="C956" s="143" t="s">
        <v>946</v>
      </c>
      <c r="D956" s="277" t="s">
        <v>32</v>
      </c>
      <c r="E956" s="182" t="s">
        <v>828</v>
      </c>
      <c r="F956" s="313">
        <f>5.5*4</f>
        <v>22</v>
      </c>
      <c r="G956" s="314">
        <v>215000</v>
      </c>
      <c r="H956" s="292">
        <v>0.8</v>
      </c>
      <c r="I956" s="131">
        <v>1.1479999999999999</v>
      </c>
      <c r="J956" s="229">
        <f t="shared" si="95"/>
        <v>4344000</v>
      </c>
      <c r="K956" s="39">
        <f t="shared" si="89"/>
        <v>4344000</v>
      </c>
      <c r="L956" s="305">
        <f t="shared" si="93"/>
        <v>0</v>
      </c>
      <c r="M956" s="306"/>
    </row>
    <row r="957" spans="1:13" s="307" customFormat="1" ht="61.5" customHeight="1" x14ac:dyDescent="0.3">
      <c r="A957" s="311"/>
      <c r="B957" s="250"/>
      <c r="C957" s="143" t="s">
        <v>947</v>
      </c>
      <c r="D957" s="277" t="s">
        <v>24</v>
      </c>
      <c r="E957" s="250" t="s">
        <v>1037</v>
      </c>
      <c r="F957" s="320">
        <f>1*4*0.2</f>
        <v>0.8</v>
      </c>
      <c r="G957" s="314">
        <v>2828000</v>
      </c>
      <c r="H957" s="292">
        <v>0.8</v>
      </c>
      <c r="I957" s="131">
        <v>1.1479999999999999</v>
      </c>
      <c r="J957" s="229">
        <f t="shared" si="95"/>
        <v>2078000</v>
      </c>
      <c r="K957" s="39">
        <f t="shared" si="89"/>
        <v>2078000</v>
      </c>
      <c r="L957" s="305">
        <f t="shared" si="93"/>
        <v>0</v>
      </c>
      <c r="M957" s="306"/>
    </row>
    <row r="958" spans="1:13" s="307" customFormat="1" ht="134.25" customHeight="1" x14ac:dyDescent="0.3">
      <c r="A958" s="311"/>
      <c r="B958" s="250"/>
      <c r="C958" s="143" t="s">
        <v>948</v>
      </c>
      <c r="D958" s="312" t="s">
        <v>1031</v>
      </c>
      <c r="E958" s="182" t="s">
        <v>828</v>
      </c>
      <c r="F958" s="313">
        <f>4*4.5</f>
        <v>18</v>
      </c>
      <c r="G958" s="314">
        <v>4469000</v>
      </c>
      <c r="H958" s="292">
        <v>0.8</v>
      </c>
      <c r="I958" s="131">
        <v>1.1479999999999999</v>
      </c>
      <c r="J958" s="229">
        <f t="shared" si="95"/>
        <v>73878000</v>
      </c>
      <c r="K958" s="39">
        <f t="shared" si="89"/>
        <v>73878000</v>
      </c>
      <c r="L958" s="305">
        <f t="shared" si="93"/>
        <v>0</v>
      </c>
      <c r="M958" s="306"/>
    </row>
    <row r="959" spans="1:13" s="307" customFormat="1" ht="61.5" customHeight="1" x14ac:dyDescent="0.3">
      <c r="A959" s="303">
        <v>66</v>
      </c>
      <c r="B959" s="304" t="s">
        <v>985</v>
      </c>
      <c r="C959" s="480" t="s">
        <v>1156</v>
      </c>
      <c r="D959" s="481"/>
      <c r="E959" s="481"/>
      <c r="F959" s="481"/>
      <c r="G959" s="481"/>
      <c r="H959" s="481"/>
      <c r="I959" s="482"/>
      <c r="J959" s="295">
        <f>SUM(J960:J965)</f>
        <v>53389000</v>
      </c>
      <c r="K959" s="39">
        <f t="shared" si="89"/>
        <v>0</v>
      </c>
      <c r="L959" s="305">
        <f t="shared" si="93"/>
        <v>53389000</v>
      </c>
      <c r="M959" s="306"/>
    </row>
    <row r="960" spans="1:13" s="307" customFormat="1" ht="90" customHeight="1" x14ac:dyDescent="0.3">
      <c r="A960" s="308"/>
      <c r="B960" s="304"/>
      <c r="C960" s="128" t="s">
        <v>986</v>
      </c>
      <c r="D960" s="277"/>
      <c r="E960" s="182" t="s">
        <v>828</v>
      </c>
      <c r="F960" s="309">
        <v>49.7</v>
      </c>
      <c r="G960" s="453" t="s">
        <v>1043</v>
      </c>
      <c r="H960" s="453"/>
      <c r="I960" s="454"/>
      <c r="J960" s="310"/>
      <c r="K960" s="39"/>
      <c r="L960" s="305">
        <f t="shared" si="93"/>
        <v>0</v>
      </c>
      <c r="M960" s="306"/>
    </row>
    <row r="961" spans="1:256" s="307" customFormat="1" ht="61.5" customHeight="1" x14ac:dyDescent="0.3">
      <c r="A961" s="311"/>
      <c r="B961" s="250"/>
      <c r="C961" s="143" t="s">
        <v>991</v>
      </c>
      <c r="D961" s="283" t="s">
        <v>51</v>
      </c>
      <c r="E961" s="182" t="s">
        <v>828</v>
      </c>
      <c r="F961" s="320">
        <f>10*4.4</f>
        <v>44</v>
      </c>
      <c r="G961" s="314">
        <v>453000</v>
      </c>
      <c r="H961" s="292">
        <v>0.8</v>
      </c>
      <c r="I961" s="131">
        <v>1.1479999999999999</v>
      </c>
      <c r="J961" s="229">
        <f>ROUND(F961*G961*H961*I961,-3)</f>
        <v>18306000</v>
      </c>
      <c r="K961" s="39">
        <f t="shared" si="89"/>
        <v>18306000</v>
      </c>
      <c r="L961" s="305">
        <f t="shared" si="93"/>
        <v>0</v>
      </c>
      <c r="M961" s="306"/>
    </row>
    <row r="962" spans="1:256" s="307" customFormat="1" ht="61.5" customHeight="1" x14ac:dyDescent="0.3">
      <c r="A962" s="311"/>
      <c r="B962" s="250"/>
      <c r="C962" s="143" t="s">
        <v>987</v>
      </c>
      <c r="D962" s="283" t="s">
        <v>52</v>
      </c>
      <c r="E962" s="182" t="s">
        <v>828</v>
      </c>
      <c r="F962" s="313">
        <f>(4.4*3.5)*2+6.3*3.5</f>
        <v>52.850000000000009</v>
      </c>
      <c r="G962" s="317" t="s">
        <v>53</v>
      </c>
      <c r="H962" s="292">
        <v>0.8</v>
      </c>
      <c r="I962" s="321">
        <v>1.1479999999999999</v>
      </c>
      <c r="J962" s="229">
        <f>ROUND(F962*G962*H962*I962,-3)</f>
        <v>11455000</v>
      </c>
      <c r="K962" s="39">
        <f t="shared" si="89"/>
        <v>11455000</v>
      </c>
      <c r="L962" s="305">
        <f t="shared" si="93"/>
        <v>0</v>
      </c>
      <c r="M962" s="306"/>
    </row>
    <row r="963" spans="1:256" s="307" customFormat="1" ht="61.5" customHeight="1" x14ac:dyDescent="0.3">
      <c r="A963" s="311"/>
      <c r="B963" s="250"/>
      <c r="C963" s="143" t="s">
        <v>988</v>
      </c>
      <c r="D963" s="277" t="s">
        <v>89</v>
      </c>
      <c r="E963" s="315" t="s">
        <v>828</v>
      </c>
      <c r="F963" s="313">
        <f>3.7*3.5</f>
        <v>12.950000000000001</v>
      </c>
      <c r="G963" s="314">
        <v>11000</v>
      </c>
      <c r="H963" s="292">
        <v>0.8</v>
      </c>
      <c r="I963" s="131">
        <v>1.1479999999999999</v>
      </c>
      <c r="J963" s="229">
        <f>ROUND(F963*G963*H963*I963,-3)</f>
        <v>131000</v>
      </c>
      <c r="K963" s="39">
        <f t="shared" si="89"/>
        <v>131000</v>
      </c>
      <c r="L963" s="305">
        <f t="shared" si="93"/>
        <v>0</v>
      </c>
      <c r="M963" s="306"/>
    </row>
    <row r="964" spans="1:256" s="307" customFormat="1" ht="61.5" customHeight="1" x14ac:dyDescent="0.3">
      <c r="A964" s="311"/>
      <c r="B964" s="250"/>
      <c r="C964" s="143" t="s">
        <v>989</v>
      </c>
      <c r="D964" s="277" t="s">
        <v>32</v>
      </c>
      <c r="E964" s="182" t="s">
        <v>828</v>
      </c>
      <c r="F964" s="316">
        <f>10*4.4</f>
        <v>44</v>
      </c>
      <c r="G964" s="314">
        <v>215000</v>
      </c>
      <c r="H964" s="292">
        <v>0.8</v>
      </c>
      <c r="I964" s="131">
        <v>1.1479999999999999</v>
      </c>
      <c r="J964" s="229">
        <f>ROUND(F964*G964*H964*I964,-3)</f>
        <v>8688000</v>
      </c>
      <c r="K964" s="39">
        <f t="shared" si="89"/>
        <v>8688000</v>
      </c>
      <c r="L964" s="305">
        <f t="shared" si="93"/>
        <v>0</v>
      </c>
      <c r="M964" s="306"/>
    </row>
    <row r="965" spans="1:256" s="307" customFormat="1" ht="61.5" customHeight="1" x14ac:dyDescent="0.3">
      <c r="A965" s="311"/>
      <c r="B965" s="250"/>
      <c r="C965" s="143" t="s">
        <v>990</v>
      </c>
      <c r="D965" s="277" t="s">
        <v>32</v>
      </c>
      <c r="E965" s="182" t="s">
        <v>828</v>
      </c>
      <c r="F965" s="316">
        <f>10*7.5</f>
        <v>75</v>
      </c>
      <c r="G965" s="314">
        <v>215000</v>
      </c>
      <c r="H965" s="292">
        <v>0.8</v>
      </c>
      <c r="I965" s="131">
        <v>1.1479999999999999</v>
      </c>
      <c r="J965" s="229">
        <f>ROUND(F965*G965*H965*I965,-3)</f>
        <v>14809000</v>
      </c>
      <c r="K965" s="39">
        <f t="shared" si="89"/>
        <v>14809000</v>
      </c>
      <c r="L965" s="305">
        <f t="shared" si="93"/>
        <v>0</v>
      </c>
      <c r="M965" s="306"/>
    </row>
    <row r="966" spans="1:256" ht="61.5" customHeight="1" x14ac:dyDescent="0.3">
      <c r="A966" s="149">
        <v>67</v>
      </c>
      <c r="B966" s="109" t="s">
        <v>949</v>
      </c>
      <c r="C966" s="455" t="s">
        <v>950</v>
      </c>
      <c r="D966" s="456"/>
      <c r="E966" s="456"/>
      <c r="F966" s="456"/>
      <c r="G966" s="456"/>
      <c r="H966" s="456"/>
      <c r="I966" s="457"/>
      <c r="J966" s="221">
        <f>SUM(J967:J992)</f>
        <v>655885000</v>
      </c>
      <c r="K966" s="39">
        <f t="shared" si="89"/>
        <v>0</v>
      </c>
      <c r="L966" s="261">
        <f t="shared" si="93"/>
        <v>655885000</v>
      </c>
      <c r="M966" s="24"/>
    </row>
    <row r="967" spans="1:256" s="290" customFormat="1" ht="81.75" customHeight="1" x14ac:dyDescent="0.3">
      <c r="A967" s="211"/>
      <c r="B967" s="17"/>
      <c r="C967" s="25" t="s">
        <v>1158</v>
      </c>
      <c r="D967" s="267" t="s">
        <v>112</v>
      </c>
      <c r="E967" s="27" t="s">
        <v>23</v>
      </c>
      <c r="F967" s="35">
        <v>0.6</v>
      </c>
      <c r="G967" s="49">
        <v>11100000</v>
      </c>
      <c r="H967" s="286">
        <v>1</v>
      </c>
      <c r="I967" s="268">
        <v>1.4</v>
      </c>
      <c r="J967" s="32">
        <f>ROUND(F967*G967*H967*I967,-3)</f>
        <v>9324000</v>
      </c>
      <c r="K967" s="39">
        <f t="shared" ref="K967:K1030" si="96">ROUND(F967*G967*H967*I967,-3)</f>
        <v>9324000</v>
      </c>
      <c r="L967" s="261">
        <f t="shared" si="93"/>
        <v>0</v>
      </c>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c r="AM967" s="14"/>
      <c r="AN967" s="14"/>
      <c r="AO967" s="14"/>
      <c r="AP967" s="14"/>
      <c r="AQ967" s="14"/>
      <c r="AR967" s="14"/>
      <c r="AS967" s="14"/>
      <c r="AT967" s="14"/>
      <c r="AU967" s="14"/>
      <c r="AV967" s="14"/>
      <c r="AW967" s="14"/>
      <c r="AX967" s="14"/>
      <c r="AY967" s="14"/>
      <c r="AZ967" s="14"/>
      <c r="BA967" s="14"/>
      <c r="BB967" s="14"/>
      <c r="BC967" s="14"/>
      <c r="BD967" s="14"/>
      <c r="BE967" s="14"/>
      <c r="BF967" s="14"/>
      <c r="BG967" s="14"/>
      <c r="BH967" s="14"/>
      <c r="BI967" s="14"/>
      <c r="BJ967" s="14"/>
      <c r="BK967" s="14"/>
      <c r="BL967" s="14"/>
      <c r="BM967" s="14"/>
      <c r="BN967" s="14"/>
      <c r="BO967" s="14"/>
      <c r="BP967" s="14"/>
      <c r="BQ967" s="14"/>
      <c r="BR967" s="14"/>
      <c r="BS967" s="14"/>
      <c r="BT967" s="14"/>
      <c r="BU967" s="14"/>
      <c r="BV967" s="14"/>
      <c r="BW967" s="14"/>
      <c r="BX967" s="14"/>
      <c r="BY967" s="14"/>
      <c r="BZ967" s="14"/>
      <c r="CA967" s="14"/>
      <c r="CB967" s="14"/>
      <c r="CC967" s="14"/>
      <c r="CD967" s="14"/>
      <c r="CE967" s="14"/>
      <c r="CF967" s="14"/>
      <c r="CG967" s="14"/>
      <c r="CH967" s="14"/>
      <c r="CI967" s="14"/>
      <c r="CJ967" s="14"/>
      <c r="CK967" s="14"/>
      <c r="CL967" s="14"/>
      <c r="CM967" s="14"/>
      <c r="CN967" s="14"/>
      <c r="CO967" s="14"/>
      <c r="CP967" s="14"/>
      <c r="CQ967" s="14"/>
      <c r="CR967" s="14"/>
      <c r="CS967" s="14"/>
      <c r="CT967" s="14"/>
      <c r="CU967" s="14"/>
      <c r="CV967" s="14"/>
      <c r="CW967" s="14"/>
      <c r="CX967" s="14"/>
      <c r="CY967" s="14"/>
      <c r="CZ967" s="14"/>
      <c r="DA967" s="14"/>
      <c r="DB967" s="14"/>
      <c r="DC967" s="14"/>
      <c r="DD967" s="14"/>
      <c r="DE967" s="14"/>
      <c r="DF967" s="14"/>
      <c r="DG967" s="14"/>
      <c r="DH967" s="14"/>
      <c r="DI967" s="14"/>
      <c r="DJ967" s="14"/>
      <c r="DK967" s="14"/>
      <c r="DL967" s="14"/>
      <c r="DM967" s="14"/>
      <c r="DN967" s="14"/>
      <c r="DO967" s="14"/>
      <c r="DP967" s="14"/>
      <c r="DQ967" s="14"/>
      <c r="DR967" s="14"/>
      <c r="DS967" s="14"/>
      <c r="DT967" s="14"/>
      <c r="DU967" s="14"/>
      <c r="DV967" s="14"/>
      <c r="DW967" s="14"/>
      <c r="DX967" s="14"/>
      <c r="DY967" s="14"/>
      <c r="DZ967" s="14"/>
      <c r="EA967" s="14"/>
      <c r="EB967" s="14"/>
      <c r="EC967" s="14"/>
      <c r="ED967" s="14"/>
      <c r="EE967" s="14"/>
      <c r="EF967" s="14"/>
      <c r="EG967" s="14"/>
      <c r="EH967" s="14"/>
      <c r="EI967" s="14"/>
      <c r="EJ967" s="14"/>
      <c r="EK967" s="14"/>
      <c r="EL967" s="14"/>
      <c r="EM967" s="14"/>
      <c r="EN967" s="14"/>
      <c r="EO967" s="14"/>
      <c r="EP967" s="14"/>
      <c r="EQ967" s="14"/>
      <c r="ER967" s="14"/>
      <c r="ES967" s="14"/>
      <c r="ET967" s="14"/>
      <c r="EU967" s="14"/>
      <c r="EV967" s="14"/>
      <c r="EW967" s="14"/>
      <c r="EX967" s="14"/>
      <c r="EY967" s="14"/>
      <c r="EZ967" s="14"/>
      <c r="FA967" s="14"/>
      <c r="FB967" s="14"/>
      <c r="FC967" s="14"/>
      <c r="FD967" s="14"/>
      <c r="FE967" s="14"/>
      <c r="FF967" s="14"/>
      <c r="FG967" s="14"/>
      <c r="FH967" s="14"/>
      <c r="FI967" s="14"/>
      <c r="FJ967" s="14"/>
      <c r="FK967" s="14"/>
      <c r="FL967" s="14"/>
      <c r="FM967" s="14"/>
      <c r="FN967" s="14"/>
      <c r="FO967" s="14"/>
      <c r="FP967" s="14"/>
      <c r="FQ967" s="14"/>
      <c r="FR967" s="14"/>
      <c r="FS967" s="14"/>
      <c r="FT967" s="14"/>
      <c r="FU967" s="14"/>
      <c r="FV967" s="14"/>
      <c r="FW967" s="14"/>
      <c r="FX967" s="14"/>
      <c r="FY967" s="14"/>
      <c r="FZ967" s="14"/>
      <c r="GA967" s="14"/>
      <c r="GB967" s="14"/>
      <c r="GC967" s="14"/>
      <c r="GD967" s="14"/>
      <c r="GE967" s="14"/>
      <c r="GF967" s="14"/>
      <c r="GG967" s="14"/>
      <c r="GH967" s="14"/>
      <c r="GI967" s="14"/>
      <c r="GJ967" s="14"/>
      <c r="GK967" s="14"/>
      <c r="GL967" s="14"/>
      <c r="GM967" s="14"/>
      <c r="GN967" s="14"/>
      <c r="GO967" s="14"/>
      <c r="GP967" s="14"/>
      <c r="GQ967" s="14"/>
      <c r="GR967" s="14"/>
      <c r="GS967" s="14"/>
      <c r="GT967" s="14"/>
      <c r="GU967" s="14"/>
      <c r="GV967" s="14"/>
      <c r="GW967" s="14"/>
      <c r="GX967" s="14"/>
      <c r="GY967" s="14"/>
      <c r="GZ967" s="14"/>
      <c r="HA967" s="14"/>
      <c r="HB967" s="14"/>
      <c r="HC967" s="14"/>
      <c r="HD967" s="14"/>
      <c r="HE967" s="14"/>
      <c r="HF967" s="14"/>
      <c r="HG967" s="14"/>
      <c r="HH967" s="14"/>
      <c r="HI967" s="14"/>
      <c r="HJ967" s="14"/>
      <c r="HK967" s="14"/>
      <c r="HL967" s="14"/>
      <c r="HM967" s="14"/>
      <c r="HN967" s="14"/>
      <c r="HO967" s="14"/>
      <c r="HP967" s="14"/>
      <c r="HQ967" s="14"/>
      <c r="HR967" s="14"/>
      <c r="HS967" s="14"/>
      <c r="HT967" s="14"/>
      <c r="HU967" s="14"/>
      <c r="HV967" s="14"/>
      <c r="HW967" s="14"/>
      <c r="HX967" s="14"/>
      <c r="HY967" s="14"/>
      <c r="HZ967" s="14"/>
      <c r="IA967" s="14"/>
      <c r="IB967" s="14"/>
      <c r="IC967" s="14"/>
      <c r="ID967" s="14"/>
      <c r="IE967" s="14"/>
      <c r="IF967" s="14"/>
      <c r="IG967" s="14"/>
      <c r="IH967" s="14"/>
      <c r="II967" s="14"/>
      <c r="IJ967" s="14"/>
      <c r="IK967" s="14"/>
      <c r="IL967" s="14"/>
      <c r="IM967" s="14"/>
      <c r="IN967" s="14"/>
      <c r="IO967" s="14"/>
      <c r="IP967" s="14"/>
      <c r="IQ967" s="14"/>
      <c r="IR967" s="14"/>
      <c r="IS967" s="14"/>
      <c r="IT967" s="14"/>
      <c r="IU967" s="14"/>
      <c r="IV967" s="14"/>
    </row>
    <row r="968" spans="1:256" ht="90" customHeight="1" x14ac:dyDescent="0.25">
      <c r="A968" s="67"/>
      <c r="B968" s="68"/>
      <c r="C968" s="25" t="s">
        <v>1062</v>
      </c>
      <c r="D968" s="267" t="s">
        <v>112</v>
      </c>
      <c r="E968" s="27" t="s">
        <v>23</v>
      </c>
      <c r="F968" s="35">
        <v>86.9</v>
      </c>
      <c r="G968" s="464" t="s">
        <v>1118</v>
      </c>
      <c r="H968" s="464"/>
      <c r="I968" s="465"/>
      <c r="J968" s="227"/>
      <c r="K968" s="39"/>
      <c r="L968" s="261">
        <f t="shared" si="93"/>
        <v>0</v>
      </c>
      <c r="M968" s="251"/>
    </row>
    <row r="969" spans="1:256" ht="122.25" customHeight="1" x14ac:dyDescent="0.3">
      <c r="A969" s="69"/>
      <c r="B969" s="8"/>
      <c r="C969" s="82" t="s">
        <v>951</v>
      </c>
      <c r="D969" s="269" t="s">
        <v>1032</v>
      </c>
      <c r="E969" s="27" t="s">
        <v>23</v>
      </c>
      <c r="F969" s="72">
        <f>(4.8*3)*4</f>
        <v>57.599999999999994</v>
      </c>
      <c r="G969" s="11">
        <v>6207000</v>
      </c>
      <c r="H969" s="45">
        <v>0.8</v>
      </c>
      <c r="I969" s="31">
        <v>1.1479999999999999</v>
      </c>
      <c r="J969" s="223">
        <f t="shared" ref="J969:J992" si="97">ROUND(F969*G969*H969*I969,-3)</f>
        <v>328349000</v>
      </c>
      <c r="K969" s="39">
        <f t="shared" si="96"/>
        <v>328349000</v>
      </c>
      <c r="L969" s="261">
        <f t="shared" si="93"/>
        <v>0</v>
      </c>
      <c r="M969" s="14"/>
    </row>
    <row r="970" spans="1:256" ht="99" customHeight="1" x14ac:dyDescent="0.3">
      <c r="A970" s="69"/>
      <c r="B970" s="8"/>
      <c r="C970" s="82" t="s">
        <v>952</v>
      </c>
      <c r="D970" s="269" t="s">
        <v>1032</v>
      </c>
      <c r="E970" s="27" t="s">
        <v>23</v>
      </c>
      <c r="F970" s="72">
        <f>2.55*3+(1.3*8)*3</f>
        <v>38.85</v>
      </c>
      <c r="G970" s="11">
        <v>6207000</v>
      </c>
      <c r="H970" s="45">
        <v>0.8</v>
      </c>
      <c r="I970" s="31">
        <v>1.1479999999999999</v>
      </c>
      <c r="J970" s="223">
        <f t="shared" si="97"/>
        <v>221465000</v>
      </c>
      <c r="K970" s="39">
        <f t="shared" si="96"/>
        <v>221465000</v>
      </c>
      <c r="L970" s="261">
        <f t="shared" si="93"/>
        <v>0</v>
      </c>
      <c r="M970" s="14"/>
    </row>
    <row r="971" spans="1:256" ht="61.5" customHeight="1" x14ac:dyDescent="0.3">
      <c r="A971" s="69"/>
      <c r="B971" s="8"/>
      <c r="C971" s="82" t="s">
        <v>953</v>
      </c>
      <c r="D971" s="269" t="s">
        <v>88</v>
      </c>
      <c r="E971" s="8" t="s">
        <v>25</v>
      </c>
      <c r="F971" s="72">
        <f>(0.53*0.53*2.2)*2</f>
        <v>1.2359600000000002</v>
      </c>
      <c r="G971" s="11">
        <v>2828000</v>
      </c>
      <c r="H971" s="45">
        <v>0.8</v>
      </c>
      <c r="I971" s="31">
        <v>1.1479999999999999</v>
      </c>
      <c r="J971" s="223">
        <f t="shared" si="97"/>
        <v>3210000</v>
      </c>
      <c r="K971" s="39">
        <f t="shared" si="96"/>
        <v>3210000</v>
      </c>
      <c r="L971" s="261">
        <f t="shared" si="93"/>
        <v>0</v>
      </c>
      <c r="M971" s="14"/>
    </row>
    <row r="972" spans="1:256" ht="61.5" customHeight="1" x14ac:dyDescent="0.3">
      <c r="A972" s="69"/>
      <c r="B972" s="8"/>
      <c r="C972" s="82" t="s">
        <v>954</v>
      </c>
      <c r="D972" s="269" t="s">
        <v>88</v>
      </c>
      <c r="E972" s="27" t="s">
        <v>25</v>
      </c>
      <c r="F972" s="72">
        <f>(0.25*0.25*1.3)*3</f>
        <v>0.24375000000000002</v>
      </c>
      <c r="G972" s="29">
        <v>2828000</v>
      </c>
      <c r="H972" s="45">
        <v>0.8</v>
      </c>
      <c r="I972" s="31">
        <v>1.1479999999999999</v>
      </c>
      <c r="J972" s="223">
        <f t="shared" si="97"/>
        <v>633000</v>
      </c>
      <c r="K972" s="39">
        <f t="shared" si="96"/>
        <v>633000</v>
      </c>
      <c r="L972" s="261">
        <f t="shared" si="93"/>
        <v>0</v>
      </c>
      <c r="M972" s="14"/>
    </row>
    <row r="973" spans="1:256" ht="61.5" customHeight="1" x14ac:dyDescent="0.3">
      <c r="A973" s="69"/>
      <c r="B973" s="8"/>
      <c r="C973" s="82" t="s">
        <v>955</v>
      </c>
      <c r="D973" s="270" t="s">
        <v>29</v>
      </c>
      <c r="E973" s="27" t="s">
        <v>23</v>
      </c>
      <c r="F973" s="72">
        <f>0.35*4.7+1.9*0.6+(8*1.3)*2</f>
        <v>23.585000000000001</v>
      </c>
      <c r="G973" s="29">
        <v>792000</v>
      </c>
      <c r="H973" s="45">
        <v>0.8</v>
      </c>
      <c r="I973" s="31">
        <v>1.1479999999999999</v>
      </c>
      <c r="J973" s="223">
        <f t="shared" si="97"/>
        <v>17155000</v>
      </c>
      <c r="K973" s="39">
        <f t="shared" si="96"/>
        <v>17155000</v>
      </c>
      <c r="L973" s="261">
        <f t="shared" si="93"/>
        <v>0</v>
      </c>
      <c r="M973" s="14"/>
    </row>
    <row r="974" spans="1:256" ht="61.5" customHeight="1" x14ac:dyDescent="0.3">
      <c r="A974" s="69"/>
      <c r="B974" s="8"/>
      <c r="C974" s="82" t="s">
        <v>956</v>
      </c>
      <c r="D974" s="270" t="s">
        <v>826</v>
      </c>
      <c r="E974" s="27" t="s">
        <v>23</v>
      </c>
      <c r="F974" s="75">
        <f>1.8*6.2</f>
        <v>11.16</v>
      </c>
      <c r="G974" s="29">
        <v>566000</v>
      </c>
      <c r="H974" s="45">
        <v>0.8</v>
      </c>
      <c r="I974" s="31">
        <v>1.1479999999999999</v>
      </c>
      <c r="J974" s="223">
        <f t="shared" si="97"/>
        <v>5801000</v>
      </c>
      <c r="K974" s="39">
        <f t="shared" si="96"/>
        <v>5801000</v>
      </c>
      <c r="L974" s="261">
        <f t="shared" si="93"/>
        <v>0</v>
      </c>
      <c r="M974" s="14"/>
    </row>
    <row r="975" spans="1:256" ht="61.5" customHeight="1" x14ac:dyDescent="0.3">
      <c r="A975" s="69"/>
      <c r="B975" s="8"/>
      <c r="C975" s="82" t="s">
        <v>957</v>
      </c>
      <c r="D975" s="267" t="s">
        <v>89</v>
      </c>
      <c r="E975" s="71" t="s">
        <v>23</v>
      </c>
      <c r="F975" s="72">
        <f>6.2*1.2+1.2*7.4</f>
        <v>16.32</v>
      </c>
      <c r="G975" s="29">
        <v>11000</v>
      </c>
      <c r="H975" s="45">
        <v>0.8</v>
      </c>
      <c r="I975" s="31">
        <v>1.1479999999999999</v>
      </c>
      <c r="J975" s="223">
        <f t="shared" si="97"/>
        <v>165000</v>
      </c>
      <c r="K975" s="39">
        <f t="shared" si="96"/>
        <v>165000</v>
      </c>
      <c r="L975" s="261">
        <f t="shared" si="93"/>
        <v>0</v>
      </c>
      <c r="M975" s="14"/>
    </row>
    <row r="976" spans="1:256" ht="61.5" customHeight="1" x14ac:dyDescent="0.3">
      <c r="A976" s="69"/>
      <c r="B976" s="8"/>
      <c r="C976" s="82" t="s">
        <v>958</v>
      </c>
      <c r="D976" s="271" t="s">
        <v>32</v>
      </c>
      <c r="E976" s="27" t="s">
        <v>23</v>
      </c>
      <c r="F976" s="72">
        <f>5.5*11</f>
        <v>60.5</v>
      </c>
      <c r="G976" s="29">
        <v>215000</v>
      </c>
      <c r="H976" s="45">
        <v>0.8</v>
      </c>
      <c r="I976" s="31">
        <v>1.1479999999999999</v>
      </c>
      <c r="J976" s="223">
        <f t="shared" si="97"/>
        <v>11946000</v>
      </c>
      <c r="K976" s="39">
        <f t="shared" si="96"/>
        <v>11946000</v>
      </c>
      <c r="L976" s="261">
        <f t="shared" si="93"/>
        <v>0</v>
      </c>
      <c r="M976" s="14"/>
    </row>
    <row r="977" spans="1:13" ht="61.5" customHeight="1" x14ac:dyDescent="0.3">
      <c r="A977" s="69"/>
      <c r="B977" s="8"/>
      <c r="C977" s="82" t="s">
        <v>959</v>
      </c>
      <c r="D977" s="270" t="s">
        <v>52</v>
      </c>
      <c r="E977" s="27" t="s">
        <v>23</v>
      </c>
      <c r="F977" s="89">
        <f>2.4*7.4</f>
        <v>17.760000000000002</v>
      </c>
      <c r="G977" s="11" t="s">
        <v>53</v>
      </c>
      <c r="H977" s="45">
        <v>0.8</v>
      </c>
      <c r="I977" s="78">
        <v>1.1479999999999999</v>
      </c>
      <c r="J977" s="223">
        <f t="shared" si="97"/>
        <v>3849000</v>
      </c>
      <c r="K977" s="39">
        <f t="shared" si="96"/>
        <v>3849000</v>
      </c>
      <c r="L977" s="261">
        <f t="shared" si="93"/>
        <v>0</v>
      </c>
      <c r="M977" s="14"/>
    </row>
    <row r="978" spans="1:13" ht="61.5" customHeight="1" x14ac:dyDescent="0.3">
      <c r="A978" s="69"/>
      <c r="B978" s="8"/>
      <c r="C978" s="82" t="s">
        <v>960</v>
      </c>
      <c r="D978" s="270" t="s">
        <v>29</v>
      </c>
      <c r="E978" s="27" t="s">
        <v>23</v>
      </c>
      <c r="F978" s="89">
        <f>(4*0.16)*2+(4.4*0.25)*2+(3.6*0.4)*2</f>
        <v>6.3600000000000012</v>
      </c>
      <c r="G978" s="29">
        <v>792000</v>
      </c>
      <c r="H978" s="45">
        <v>0.8</v>
      </c>
      <c r="I978" s="31">
        <v>1.1479999999999999</v>
      </c>
      <c r="J978" s="223">
        <f t="shared" si="97"/>
        <v>4626000</v>
      </c>
      <c r="K978" s="39">
        <f t="shared" si="96"/>
        <v>4626000</v>
      </c>
      <c r="L978" s="261">
        <f t="shared" si="93"/>
        <v>0</v>
      </c>
      <c r="M978" s="14"/>
    </row>
    <row r="979" spans="1:13" ht="61.5" customHeight="1" x14ac:dyDescent="0.3">
      <c r="A979" s="69"/>
      <c r="B979" s="8"/>
      <c r="C979" s="82" t="s">
        <v>961</v>
      </c>
      <c r="D979" s="192" t="s">
        <v>58</v>
      </c>
      <c r="E979" s="27" t="s">
        <v>35</v>
      </c>
      <c r="F979" s="98">
        <v>1</v>
      </c>
      <c r="G979" s="29">
        <v>1065100</v>
      </c>
      <c r="H979" s="50">
        <v>1</v>
      </c>
      <c r="I979" s="51">
        <v>1</v>
      </c>
      <c r="J979" s="223">
        <f t="shared" si="97"/>
        <v>1065000</v>
      </c>
      <c r="K979" s="39">
        <f t="shared" si="96"/>
        <v>1065000</v>
      </c>
      <c r="L979" s="261">
        <f t="shared" si="93"/>
        <v>0</v>
      </c>
      <c r="M979" s="14"/>
    </row>
    <row r="980" spans="1:13" ht="61.5" customHeight="1" x14ac:dyDescent="0.3">
      <c r="A980" s="69"/>
      <c r="B980" s="8"/>
      <c r="C980" s="82" t="s">
        <v>962</v>
      </c>
      <c r="D980" s="192" t="s">
        <v>58</v>
      </c>
      <c r="E980" s="27" t="s">
        <v>35</v>
      </c>
      <c r="F980" s="98">
        <v>3</v>
      </c>
      <c r="G980" s="29">
        <v>1065100</v>
      </c>
      <c r="H980" s="50">
        <v>1</v>
      </c>
      <c r="I980" s="51">
        <v>1</v>
      </c>
      <c r="J980" s="223">
        <f t="shared" si="97"/>
        <v>3195000</v>
      </c>
      <c r="K980" s="39">
        <f t="shared" si="96"/>
        <v>3195000</v>
      </c>
      <c r="L980" s="261">
        <f t="shared" si="93"/>
        <v>0</v>
      </c>
      <c r="M980" s="14"/>
    </row>
    <row r="981" spans="1:13" ht="61.5" customHeight="1" x14ac:dyDescent="0.3">
      <c r="A981" s="69"/>
      <c r="B981" s="8"/>
      <c r="C981" s="82" t="s">
        <v>963</v>
      </c>
      <c r="D981" s="270" t="s">
        <v>51</v>
      </c>
      <c r="E981" s="27" t="s">
        <v>23</v>
      </c>
      <c r="F981" s="72">
        <f>9.8*4.35</f>
        <v>42.63</v>
      </c>
      <c r="G981" s="29">
        <v>453000</v>
      </c>
      <c r="H981" s="45">
        <v>0.8</v>
      </c>
      <c r="I981" s="31">
        <v>1.1479999999999999</v>
      </c>
      <c r="J981" s="223">
        <f t="shared" si="97"/>
        <v>17736000</v>
      </c>
      <c r="K981" s="39">
        <f t="shared" si="96"/>
        <v>17736000</v>
      </c>
      <c r="L981" s="261">
        <f t="shared" si="93"/>
        <v>0</v>
      </c>
      <c r="M981" s="14"/>
    </row>
    <row r="982" spans="1:13" ht="61.5" customHeight="1" x14ac:dyDescent="0.3">
      <c r="A982" s="69"/>
      <c r="B982" s="8"/>
      <c r="C982" s="82" t="s">
        <v>964</v>
      </c>
      <c r="D982" s="270" t="s">
        <v>55</v>
      </c>
      <c r="E982" s="27" t="s">
        <v>23</v>
      </c>
      <c r="F982" s="89">
        <f>4.3*1.2</f>
        <v>5.1599999999999993</v>
      </c>
      <c r="G982" s="29">
        <v>905000</v>
      </c>
      <c r="H982" s="45">
        <v>0.8</v>
      </c>
      <c r="I982" s="79">
        <v>1.1479999999999999</v>
      </c>
      <c r="J982" s="223">
        <f t="shared" si="97"/>
        <v>4289000</v>
      </c>
      <c r="K982" s="39">
        <f t="shared" si="96"/>
        <v>4289000</v>
      </c>
      <c r="L982" s="261">
        <f t="shared" si="93"/>
        <v>0</v>
      </c>
      <c r="M982" s="14"/>
    </row>
    <row r="983" spans="1:13" ht="61.5" customHeight="1" x14ac:dyDescent="0.3">
      <c r="A983" s="69"/>
      <c r="B983" s="8"/>
      <c r="C983" s="82" t="s">
        <v>965</v>
      </c>
      <c r="D983" s="271" t="s">
        <v>32</v>
      </c>
      <c r="E983" s="27" t="s">
        <v>23</v>
      </c>
      <c r="F983" s="72">
        <f>10.5*7</f>
        <v>73.5</v>
      </c>
      <c r="G983" s="29">
        <v>215000</v>
      </c>
      <c r="H983" s="45">
        <v>0.8</v>
      </c>
      <c r="I983" s="31">
        <v>1.1479999999999999</v>
      </c>
      <c r="J983" s="223">
        <f t="shared" si="97"/>
        <v>14513000</v>
      </c>
      <c r="K983" s="39">
        <f t="shared" si="96"/>
        <v>14513000</v>
      </c>
      <c r="L983" s="261">
        <f t="shared" si="93"/>
        <v>0</v>
      </c>
      <c r="M983" s="14"/>
    </row>
    <row r="984" spans="1:13" ht="61.5" customHeight="1" x14ac:dyDescent="0.3">
      <c r="A984" s="69"/>
      <c r="B984" s="8"/>
      <c r="C984" s="82" t="s">
        <v>966</v>
      </c>
      <c r="D984" s="276" t="s">
        <v>41</v>
      </c>
      <c r="E984" s="59" t="s">
        <v>42</v>
      </c>
      <c r="F984" s="98">
        <v>20</v>
      </c>
      <c r="G984" s="29">
        <v>5330</v>
      </c>
      <c r="H984" s="60">
        <v>1</v>
      </c>
      <c r="I984" s="61">
        <v>1</v>
      </c>
      <c r="J984" s="223">
        <f t="shared" si="97"/>
        <v>107000</v>
      </c>
      <c r="K984" s="39">
        <f t="shared" si="96"/>
        <v>107000</v>
      </c>
      <c r="L984" s="261">
        <f t="shared" si="93"/>
        <v>0</v>
      </c>
      <c r="M984" s="14"/>
    </row>
    <row r="985" spans="1:13" ht="61.5" customHeight="1" x14ac:dyDescent="0.3">
      <c r="A985" s="69"/>
      <c r="B985" s="8"/>
      <c r="C985" s="82" t="s">
        <v>967</v>
      </c>
      <c r="D985" s="276" t="s">
        <v>41</v>
      </c>
      <c r="E985" s="59" t="s">
        <v>42</v>
      </c>
      <c r="F985" s="98">
        <v>2</v>
      </c>
      <c r="G985" s="11">
        <v>31950</v>
      </c>
      <c r="H985" s="60">
        <v>1</v>
      </c>
      <c r="I985" s="61">
        <v>1</v>
      </c>
      <c r="J985" s="223">
        <f t="shared" si="97"/>
        <v>64000</v>
      </c>
      <c r="K985" s="39">
        <f t="shared" si="96"/>
        <v>64000</v>
      </c>
      <c r="L985" s="261">
        <f t="shared" si="93"/>
        <v>0</v>
      </c>
      <c r="M985" s="14"/>
    </row>
    <row r="986" spans="1:13" ht="61.5" customHeight="1" x14ac:dyDescent="0.3">
      <c r="A986" s="69"/>
      <c r="B986" s="8"/>
      <c r="C986" s="82" t="s">
        <v>968</v>
      </c>
      <c r="D986" s="267" t="s">
        <v>36</v>
      </c>
      <c r="E986" s="27" t="s">
        <v>35</v>
      </c>
      <c r="F986" s="98">
        <v>6</v>
      </c>
      <c r="G986" s="49">
        <v>213020</v>
      </c>
      <c r="H986" s="52">
        <v>1</v>
      </c>
      <c r="I986" s="53">
        <v>1</v>
      </c>
      <c r="J986" s="223">
        <f t="shared" si="97"/>
        <v>1278000</v>
      </c>
      <c r="K986" s="39">
        <f t="shared" si="96"/>
        <v>1278000</v>
      </c>
      <c r="L986" s="261">
        <f t="shared" si="93"/>
        <v>0</v>
      </c>
      <c r="M986" s="14"/>
    </row>
    <row r="987" spans="1:13" ht="61.5" customHeight="1" x14ac:dyDescent="0.3">
      <c r="A987" s="69"/>
      <c r="B987" s="8"/>
      <c r="C987" s="82" t="s">
        <v>969</v>
      </c>
      <c r="D987" s="270" t="s">
        <v>207</v>
      </c>
      <c r="E987" s="27" t="s">
        <v>23</v>
      </c>
      <c r="F987" s="72">
        <f>3.75*2.4</f>
        <v>9</v>
      </c>
      <c r="G987" s="29">
        <v>566000</v>
      </c>
      <c r="H987" s="45">
        <v>0.8</v>
      </c>
      <c r="I987" s="31">
        <v>1.1479999999999999</v>
      </c>
      <c r="J987" s="223">
        <f t="shared" si="97"/>
        <v>4678000</v>
      </c>
      <c r="K987" s="39">
        <f t="shared" si="96"/>
        <v>4678000</v>
      </c>
      <c r="L987" s="261">
        <f t="shared" si="93"/>
        <v>0</v>
      </c>
      <c r="M987" s="14"/>
    </row>
    <row r="988" spans="1:13" ht="61.5" customHeight="1" x14ac:dyDescent="0.3">
      <c r="A988" s="69"/>
      <c r="B988" s="8"/>
      <c r="C988" s="82" t="s">
        <v>970</v>
      </c>
      <c r="D988" s="272" t="s">
        <v>33</v>
      </c>
      <c r="E988" s="27" t="s">
        <v>23</v>
      </c>
      <c r="F988" s="72">
        <f>4.3*0.9</f>
        <v>3.87</v>
      </c>
      <c r="G988" s="29">
        <v>453000</v>
      </c>
      <c r="H988" s="45">
        <v>0.8</v>
      </c>
      <c r="I988" s="31">
        <v>1.1479999999999999</v>
      </c>
      <c r="J988" s="223">
        <f t="shared" si="97"/>
        <v>1610000</v>
      </c>
      <c r="K988" s="39">
        <f t="shared" si="96"/>
        <v>1610000</v>
      </c>
      <c r="L988" s="261">
        <f t="shared" si="93"/>
        <v>0</v>
      </c>
      <c r="M988" s="14"/>
    </row>
    <row r="989" spans="1:13" ht="61.5" customHeight="1" x14ac:dyDescent="0.3">
      <c r="A989" s="69"/>
      <c r="B989" s="8"/>
      <c r="C989" s="82" t="s">
        <v>971</v>
      </c>
      <c r="D989" s="276" t="s">
        <v>41</v>
      </c>
      <c r="E989" s="59" t="s">
        <v>42</v>
      </c>
      <c r="F989" s="98">
        <v>1</v>
      </c>
      <c r="G989" s="11">
        <v>53260</v>
      </c>
      <c r="H989" s="60">
        <v>1</v>
      </c>
      <c r="I989" s="61">
        <v>1</v>
      </c>
      <c r="J989" s="223">
        <f t="shared" si="97"/>
        <v>53000</v>
      </c>
      <c r="K989" s="39">
        <f t="shared" si="96"/>
        <v>53000</v>
      </c>
      <c r="L989" s="261">
        <f t="shared" si="93"/>
        <v>0</v>
      </c>
      <c r="M989" s="14"/>
    </row>
    <row r="990" spans="1:13" ht="61.5" customHeight="1" x14ac:dyDescent="0.3">
      <c r="A990" s="69"/>
      <c r="B990" s="8"/>
      <c r="C990" s="82" t="s">
        <v>972</v>
      </c>
      <c r="D990" s="271" t="s">
        <v>44</v>
      </c>
      <c r="E990" s="63" t="s">
        <v>45</v>
      </c>
      <c r="F990" s="72">
        <v>11</v>
      </c>
      <c r="G990" s="46">
        <v>28000</v>
      </c>
      <c r="H990" s="45">
        <v>0.8</v>
      </c>
      <c r="I990" s="31">
        <v>1.1479999999999999</v>
      </c>
      <c r="J990" s="223">
        <f t="shared" si="97"/>
        <v>283000</v>
      </c>
      <c r="K990" s="39">
        <f t="shared" si="96"/>
        <v>283000</v>
      </c>
      <c r="L990" s="261">
        <f t="shared" si="93"/>
        <v>0</v>
      </c>
      <c r="M990" s="14"/>
    </row>
    <row r="991" spans="1:13" ht="61.5" customHeight="1" x14ac:dyDescent="0.3">
      <c r="A991" s="69"/>
      <c r="B991" s="8"/>
      <c r="C991" s="82" t="s">
        <v>973</v>
      </c>
      <c r="D991" s="271" t="s">
        <v>47</v>
      </c>
      <c r="E991" s="63" t="s">
        <v>45</v>
      </c>
      <c r="F991" s="72">
        <v>11</v>
      </c>
      <c r="G991" s="46">
        <v>28000</v>
      </c>
      <c r="H991" s="45">
        <v>0.8</v>
      </c>
      <c r="I991" s="31">
        <v>1.1479999999999999</v>
      </c>
      <c r="J991" s="223">
        <f t="shared" si="97"/>
        <v>283000</v>
      </c>
      <c r="K991" s="39">
        <f t="shared" si="96"/>
        <v>283000</v>
      </c>
      <c r="L991" s="261">
        <f t="shared" si="93"/>
        <v>0</v>
      </c>
      <c r="M991" s="14"/>
    </row>
    <row r="992" spans="1:13" ht="61.5" customHeight="1" x14ac:dyDescent="0.3">
      <c r="A992" s="69"/>
      <c r="B992" s="8"/>
      <c r="C992" s="82" t="s">
        <v>96</v>
      </c>
      <c r="D992" s="270" t="s">
        <v>97</v>
      </c>
      <c r="E992" s="71" t="s">
        <v>98</v>
      </c>
      <c r="F992" s="72">
        <v>1</v>
      </c>
      <c r="G992" s="36">
        <v>226000</v>
      </c>
      <c r="H992" s="45">
        <v>0.8</v>
      </c>
      <c r="I992" s="31">
        <v>1.1479999999999999</v>
      </c>
      <c r="J992" s="223">
        <f t="shared" si="97"/>
        <v>208000</v>
      </c>
      <c r="K992" s="39">
        <f t="shared" si="96"/>
        <v>208000</v>
      </c>
      <c r="L992" s="261">
        <f t="shared" si="93"/>
        <v>0</v>
      </c>
      <c r="M992" s="14"/>
    </row>
    <row r="993" spans="1:13" ht="61.5" customHeight="1" x14ac:dyDescent="0.3">
      <c r="A993" s="149">
        <v>68</v>
      </c>
      <c r="B993" s="109" t="s">
        <v>798</v>
      </c>
      <c r="C993" s="455" t="s">
        <v>974</v>
      </c>
      <c r="D993" s="456"/>
      <c r="E993" s="456"/>
      <c r="F993" s="456"/>
      <c r="G993" s="456"/>
      <c r="H993" s="456"/>
      <c r="I993" s="457"/>
      <c r="J993" s="221">
        <f>SUM(J994:J1005)</f>
        <v>386152000</v>
      </c>
      <c r="K993" s="39">
        <f t="shared" si="96"/>
        <v>0</v>
      </c>
      <c r="L993" s="261">
        <f t="shared" si="93"/>
        <v>386152000</v>
      </c>
      <c r="M993" s="24"/>
    </row>
    <row r="994" spans="1:13" ht="90" customHeight="1" x14ac:dyDescent="0.3">
      <c r="A994" s="67"/>
      <c r="B994" s="68"/>
      <c r="C994" s="20" t="s">
        <v>1119</v>
      </c>
      <c r="D994" s="267"/>
      <c r="E994" s="27" t="s">
        <v>23</v>
      </c>
      <c r="F994" s="35">
        <v>47.9</v>
      </c>
      <c r="G994" s="464" t="s">
        <v>1120</v>
      </c>
      <c r="H994" s="464"/>
      <c r="I994" s="465"/>
      <c r="J994" s="227"/>
      <c r="K994" s="39"/>
      <c r="L994" s="261">
        <f t="shared" si="93"/>
        <v>0</v>
      </c>
      <c r="M994" s="14"/>
    </row>
    <row r="995" spans="1:13" ht="105" customHeight="1" x14ac:dyDescent="0.3">
      <c r="A995" s="69"/>
      <c r="B995" s="8"/>
      <c r="C995" s="82" t="s">
        <v>1121</v>
      </c>
      <c r="D995" s="274" t="s">
        <v>87</v>
      </c>
      <c r="E995" s="27" t="s">
        <v>23</v>
      </c>
      <c r="F995" s="72">
        <f>5.1*5.2*2</f>
        <v>53.04</v>
      </c>
      <c r="G995" s="11">
        <v>5339000</v>
      </c>
      <c r="H995" s="45">
        <v>1</v>
      </c>
      <c r="I995" s="31">
        <v>1.1479999999999999</v>
      </c>
      <c r="J995" s="223">
        <f t="shared" ref="J995:J1005" si="98">ROUND(F995*G995*H995*I995,-3)</f>
        <v>325091000</v>
      </c>
      <c r="K995" s="39">
        <f t="shared" si="96"/>
        <v>325091000</v>
      </c>
      <c r="L995" s="261">
        <f t="shared" si="93"/>
        <v>0</v>
      </c>
      <c r="M995" s="14"/>
    </row>
    <row r="996" spans="1:13" ht="99" customHeight="1" x14ac:dyDescent="0.3">
      <c r="A996" s="69"/>
      <c r="B996" s="8"/>
      <c r="C996" s="82" t="s">
        <v>975</v>
      </c>
      <c r="D996" s="270" t="s">
        <v>51</v>
      </c>
      <c r="E996" s="27" t="s">
        <v>23</v>
      </c>
      <c r="F996" s="72">
        <f>5.1*6.2</f>
        <v>31.619999999999997</v>
      </c>
      <c r="G996" s="29">
        <v>453000</v>
      </c>
      <c r="H996" s="45">
        <v>1</v>
      </c>
      <c r="I996" s="31">
        <v>1.1479999999999999</v>
      </c>
      <c r="J996" s="223">
        <f t="shared" si="98"/>
        <v>16444000</v>
      </c>
      <c r="K996" s="39">
        <f t="shared" si="96"/>
        <v>16444000</v>
      </c>
      <c r="L996" s="261">
        <f t="shared" si="93"/>
        <v>0</v>
      </c>
      <c r="M996" s="14"/>
    </row>
    <row r="997" spans="1:13" ht="61.5" customHeight="1" x14ac:dyDescent="0.3">
      <c r="A997" s="69"/>
      <c r="B997" s="8"/>
      <c r="C997" s="82" t="s">
        <v>976</v>
      </c>
      <c r="D997" s="267" t="s">
        <v>207</v>
      </c>
      <c r="E997" s="71" t="s">
        <v>23</v>
      </c>
      <c r="F997" s="72">
        <f>4.6*2.5</f>
        <v>11.5</v>
      </c>
      <c r="G997" s="29">
        <v>566000</v>
      </c>
      <c r="H997" s="45">
        <v>1</v>
      </c>
      <c r="I997" s="31">
        <v>1.1479999999999999</v>
      </c>
      <c r="J997" s="223">
        <f t="shared" si="98"/>
        <v>7472000</v>
      </c>
      <c r="K997" s="39">
        <f t="shared" si="96"/>
        <v>7472000</v>
      </c>
      <c r="L997" s="261">
        <f t="shared" si="93"/>
        <v>0</v>
      </c>
      <c r="M997" s="14"/>
    </row>
    <row r="998" spans="1:13" ht="61.5" customHeight="1" x14ac:dyDescent="0.3">
      <c r="A998" s="69"/>
      <c r="B998" s="8"/>
      <c r="C998" s="82" t="s">
        <v>977</v>
      </c>
      <c r="D998" s="271" t="s">
        <v>32</v>
      </c>
      <c r="E998" s="27" t="s">
        <v>23</v>
      </c>
      <c r="F998" s="72">
        <f>5*5.3</f>
        <v>26.5</v>
      </c>
      <c r="G998" s="29">
        <v>215000</v>
      </c>
      <c r="H998" s="45">
        <v>1</v>
      </c>
      <c r="I998" s="31">
        <v>1.1479999999999999</v>
      </c>
      <c r="J998" s="223">
        <f t="shared" si="98"/>
        <v>6541000</v>
      </c>
      <c r="K998" s="39">
        <f t="shared" si="96"/>
        <v>6541000</v>
      </c>
      <c r="L998" s="261">
        <f t="shared" si="93"/>
        <v>0</v>
      </c>
      <c r="M998" s="14"/>
    </row>
    <row r="999" spans="1:13" ht="93" customHeight="1" x14ac:dyDescent="0.3">
      <c r="A999" s="69"/>
      <c r="B999" s="8"/>
      <c r="C999" s="82" t="s">
        <v>978</v>
      </c>
      <c r="D999" s="271" t="s">
        <v>32</v>
      </c>
      <c r="E999" s="27" t="s">
        <v>23</v>
      </c>
      <c r="F999" s="72">
        <f>3.9*5.1</f>
        <v>19.889999999999997</v>
      </c>
      <c r="G999" s="29">
        <v>215000</v>
      </c>
      <c r="H999" s="45">
        <v>1</v>
      </c>
      <c r="I999" s="31">
        <v>1.1479999999999999</v>
      </c>
      <c r="J999" s="223">
        <f t="shared" si="98"/>
        <v>4909000</v>
      </c>
      <c r="K999" s="39">
        <f t="shared" si="96"/>
        <v>4909000</v>
      </c>
      <c r="L999" s="261">
        <f t="shared" si="93"/>
        <v>0</v>
      </c>
      <c r="M999" s="14"/>
    </row>
    <row r="1000" spans="1:13" ht="61.5" customHeight="1" x14ac:dyDescent="0.3">
      <c r="A1000" s="69"/>
      <c r="B1000" s="8"/>
      <c r="C1000" s="82" t="s">
        <v>979</v>
      </c>
      <c r="D1000" s="270" t="s">
        <v>29</v>
      </c>
      <c r="E1000" s="27" t="s">
        <v>23</v>
      </c>
      <c r="F1000" s="75">
        <f>6.9*2</f>
        <v>13.8</v>
      </c>
      <c r="G1000" s="29">
        <v>792000</v>
      </c>
      <c r="H1000" s="45">
        <v>1</v>
      </c>
      <c r="I1000" s="31">
        <v>1.1479999999999999</v>
      </c>
      <c r="J1000" s="223">
        <f t="shared" si="98"/>
        <v>12547000</v>
      </c>
      <c r="K1000" s="39">
        <f t="shared" si="96"/>
        <v>12547000</v>
      </c>
      <c r="L1000" s="261">
        <f t="shared" ref="L1000:L1017" si="99">J1000-K1000</f>
        <v>0</v>
      </c>
      <c r="M1000" s="14"/>
    </row>
    <row r="1001" spans="1:13" ht="61.5" customHeight="1" x14ac:dyDescent="0.3">
      <c r="A1001" s="69"/>
      <c r="B1001" s="8"/>
      <c r="C1001" s="82" t="s">
        <v>980</v>
      </c>
      <c r="D1001" s="267" t="s">
        <v>89</v>
      </c>
      <c r="E1001" s="71" t="s">
        <v>23</v>
      </c>
      <c r="F1001" s="72">
        <f>6.9*1.5</f>
        <v>10.350000000000001</v>
      </c>
      <c r="G1001" s="29">
        <v>11000</v>
      </c>
      <c r="H1001" s="45">
        <v>1</v>
      </c>
      <c r="I1001" s="31">
        <v>1.1479999999999999</v>
      </c>
      <c r="J1001" s="223">
        <f t="shared" si="98"/>
        <v>131000</v>
      </c>
      <c r="K1001" s="39">
        <f t="shared" si="96"/>
        <v>131000</v>
      </c>
      <c r="L1001" s="261">
        <f t="shared" si="99"/>
        <v>0</v>
      </c>
      <c r="M1001" s="14"/>
    </row>
    <row r="1002" spans="1:13" ht="61.5" customHeight="1" x14ac:dyDescent="0.3">
      <c r="A1002" s="69"/>
      <c r="B1002" s="8"/>
      <c r="C1002" s="82" t="s">
        <v>981</v>
      </c>
      <c r="D1002" s="271" t="s">
        <v>54</v>
      </c>
      <c r="E1002" s="27" t="s">
        <v>23</v>
      </c>
      <c r="F1002" s="72">
        <f>3.3*4.1+0.8*4.1</f>
        <v>16.809999999999999</v>
      </c>
      <c r="G1002" s="46">
        <v>28000</v>
      </c>
      <c r="H1002" s="45">
        <v>1</v>
      </c>
      <c r="I1002" s="31">
        <v>1.1479999999999999</v>
      </c>
      <c r="J1002" s="223">
        <f t="shared" si="98"/>
        <v>540000</v>
      </c>
      <c r="K1002" s="39">
        <f t="shared" si="96"/>
        <v>540000</v>
      </c>
      <c r="L1002" s="261">
        <f t="shared" si="99"/>
        <v>0</v>
      </c>
      <c r="M1002" s="14"/>
    </row>
    <row r="1003" spans="1:13" ht="61.5" customHeight="1" x14ac:dyDescent="0.3">
      <c r="A1003" s="69"/>
      <c r="B1003" s="8"/>
      <c r="C1003" s="82" t="s">
        <v>982</v>
      </c>
      <c r="D1003" s="270" t="s">
        <v>52</v>
      </c>
      <c r="E1003" s="27" t="s">
        <v>23</v>
      </c>
      <c r="F1003" s="89">
        <f>4.8*0.8</f>
        <v>3.84</v>
      </c>
      <c r="G1003" s="11" t="s">
        <v>53</v>
      </c>
      <c r="H1003" s="45">
        <v>1</v>
      </c>
      <c r="I1003" s="31">
        <v>1.1479999999999999</v>
      </c>
      <c r="J1003" s="223">
        <f t="shared" si="98"/>
        <v>1040000</v>
      </c>
      <c r="K1003" s="39">
        <f t="shared" si="96"/>
        <v>1040000</v>
      </c>
      <c r="L1003" s="261">
        <f t="shared" si="99"/>
        <v>0</v>
      </c>
      <c r="M1003" s="14"/>
    </row>
    <row r="1004" spans="1:13" ht="61.5" customHeight="1" x14ac:dyDescent="0.3">
      <c r="A1004" s="69"/>
      <c r="B1004" s="8"/>
      <c r="C1004" s="82" t="s">
        <v>983</v>
      </c>
      <c r="D1004" s="275" t="s">
        <v>54</v>
      </c>
      <c r="E1004" s="22" t="s">
        <v>23</v>
      </c>
      <c r="F1004" s="89">
        <f>(12.5*1)*2</f>
        <v>25</v>
      </c>
      <c r="G1004" s="100">
        <v>213000</v>
      </c>
      <c r="H1004" s="45">
        <v>1</v>
      </c>
      <c r="I1004" s="102">
        <v>1.1479999999999999</v>
      </c>
      <c r="J1004" s="222">
        <f t="shared" si="98"/>
        <v>6113000</v>
      </c>
      <c r="K1004" s="39">
        <f t="shared" si="96"/>
        <v>6113000</v>
      </c>
      <c r="L1004" s="261">
        <f t="shared" si="99"/>
        <v>0</v>
      </c>
      <c r="M1004" s="14"/>
    </row>
    <row r="1005" spans="1:13" ht="61.5" customHeight="1" x14ac:dyDescent="0.3">
      <c r="A1005" s="69"/>
      <c r="B1005" s="8"/>
      <c r="C1005" s="82" t="s">
        <v>984</v>
      </c>
      <c r="D1005" s="270" t="s">
        <v>66</v>
      </c>
      <c r="E1005" s="27" t="s">
        <v>23</v>
      </c>
      <c r="F1005" s="72">
        <f>4.8*1.1+(1.2*3.5)*2</f>
        <v>13.68</v>
      </c>
      <c r="G1005" s="29">
        <v>339000</v>
      </c>
      <c r="H1005" s="45">
        <v>1</v>
      </c>
      <c r="I1005" s="79">
        <v>1.1479999999999999</v>
      </c>
      <c r="J1005" s="223">
        <f t="shared" si="98"/>
        <v>5324000</v>
      </c>
      <c r="K1005" s="39">
        <f t="shared" si="96"/>
        <v>5324000</v>
      </c>
      <c r="L1005" s="261">
        <f t="shared" si="99"/>
        <v>0</v>
      </c>
      <c r="M1005" s="14"/>
    </row>
    <row r="1006" spans="1:13" ht="61.5" customHeight="1" x14ac:dyDescent="0.3">
      <c r="A1006" s="149">
        <v>69</v>
      </c>
      <c r="B1006" s="150" t="s">
        <v>242</v>
      </c>
      <c r="C1006" s="455" t="s">
        <v>243</v>
      </c>
      <c r="D1006" s="456"/>
      <c r="E1006" s="456"/>
      <c r="F1006" s="456"/>
      <c r="G1006" s="456"/>
      <c r="H1006" s="456"/>
      <c r="I1006" s="457"/>
      <c r="J1006" s="221">
        <f>SUM(J1007:J1030)</f>
        <v>265610000</v>
      </c>
      <c r="K1006" s="39">
        <f t="shared" si="96"/>
        <v>0</v>
      </c>
      <c r="L1006" s="261">
        <f t="shared" si="99"/>
        <v>265610000</v>
      </c>
      <c r="M1006" s="24"/>
    </row>
    <row r="1007" spans="1:13" ht="90" customHeight="1" x14ac:dyDescent="0.3">
      <c r="A1007" s="67"/>
      <c r="B1007" s="68"/>
      <c r="C1007" s="20" t="s">
        <v>244</v>
      </c>
      <c r="D1007" s="26"/>
      <c r="E1007" s="27" t="s">
        <v>23</v>
      </c>
      <c r="F1007" s="35">
        <v>67.2</v>
      </c>
      <c r="G1007" s="464" t="s">
        <v>1157</v>
      </c>
      <c r="H1007" s="464"/>
      <c r="I1007" s="465"/>
      <c r="J1007" s="227"/>
      <c r="K1007" s="39"/>
      <c r="L1007" s="261">
        <f t="shared" si="99"/>
        <v>0</v>
      </c>
      <c r="M1007" s="14"/>
    </row>
    <row r="1008" spans="1:13" ht="72" customHeight="1" x14ac:dyDescent="0.3">
      <c r="A1008" s="69"/>
      <c r="B1008" s="8"/>
      <c r="C1008" s="82" t="s">
        <v>245</v>
      </c>
      <c r="D1008" s="81" t="s">
        <v>87</v>
      </c>
      <c r="E1008" s="27" t="s">
        <v>23</v>
      </c>
      <c r="F1008" s="75">
        <f>6.6*3.3</f>
        <v>21.779999999999998</v>
      </c>
      <c r="G1008" s="11">
        <v>5339000</v>
      </c>
      <c r="H1008" s="101">
        <v>0.8</v>
      </c>
      <c r="I1008" s="102">
        <v>1.1479999999999999</v>
      </c>
      <c r="J1008" s="223">
        <f t="shared" ref="J1008:J1030" si="100">ROUND(F1008*G1008*H1008*I1008,-3)</f>
        <v>106795000</v>
      </c>
      <c r="K1008" s="39">
        <f t="shared" si="96"/>
        <v>106795000</v>
      </c>
      <c r="L1008" s="261">
        <f t="shared" si="99"/>
        <v>0</v>
      </c>
      <c r="M1008" s="14"/>
    </row>
    <row r="1009" spans="1:13" ht="72" customHeight="1" x14ac:dyDescent="0.3">
      <c r="A1009" s="93"/>
      <c r="B1009" s="94"/>
      <c r="C1009" s="70" t="s">
        <v>246</v>
      </c>
      <c r="D1009" s="81" t="s">
        <v>87</v>
      </c>
      <c r="E1009" s="22" t="s">
        <v>23</v>
      </c>
      <c r="F1009" s="99">
        <f>1.3*3.3+0.7*3.3</f>
        <v>6.6</v>
      </c>
      <c r="G1009" s="11">
        <v>5339000</v>
      </c>
      <c r="H1009" s="101">
        <v>0.8</v>
      </c>
      <c r="I1009" s="102">
        <v>1.1479999999999999</v>
      </c>
      <c r="J1009" s="222">
        <f t="shared" si="100"/>
        <v>32362000</v>
      </c>
      <c r="K1009" s="39">
        <f t="shared" si="96"/>
        <v>32362000</v>
      </c>
      <c r="L1009" s="261">
        <f t="shared" si="99"/>
        <v>0</v>
      </c>
      <c r="M1009" s="24"/>
    </row>
    <row r="1010" spans="1:13" ht="61.5" customHeight="1" x14ac:dyDescent="0.3">
      <c r="A1010" s="69"/>
      <c r="B1010" s="8"/>
      <c r="C1010" s="82" t="s">
        <v>855</v>
      </c>
      <c r="D1010" s="34" t="s">
        <v>51</v>
      </c>
      <c r="E1010" s="27" t="s">
        <v>23</v>
      </c>
      <c r="F1010" s="72">
        <f>8*6.9</f>
        <v>55.2</v>
      </c>
      <c r="G1010" s="29">
        <v>453000</v>
      </c>
      <c r="H1010" s="37">
        <v>0.8</v>
      </c>
      <c r="I1010" s="31">
        <v>1.1479999999999999</v>
      </c>
      <c r="J1010" s="223">
        <f t="shared" si="100"/>
        <v>22965000</v>
      </c>
      <c r="K1010" s="39">
        <f t="shared" si="96"/>
        <v>22965000</v>
      </c>
      <c r="L1010" s="261">
        <f t="shared" si="99"/>
        <v>0</v>
      </c>
      <c r="M1010" s="14"/>
    </row>
    <row r="1011" spans="1:13" ht="61.5" customHeight="1" x14ac:dyDescent="0.3">
      <c r="A1011" s="69"/>
      <c r="B1011" s="8"/>
      <c r="C1011" s="82" t="s">
        <v>247</v>
      </c>
      <c r="D1011" s="34" t="s">
        <v>101</v>
      </c>
      <c r="E1011" s="71" t="s">
        <v>23</v>
      </c>
      <c r="F1011" s="75">
        <f>8*6</f>
        <v>48</v>
      </c>
      <c r="G1011" s="29">
        <v>339000</v>
      </c>
      <c r="H1011" s="37">
        <v>0.8</v>
      </c>
      <c r="I1011" s="31">
        <v>1.1479999999999999</v>
      </c>
      <c r="J1011" s="223">
        <f t="shared" si="100"/>
        <v>14944000</v>
      </c>
      <c r="K1011" s="39">
        <f t="shared" si="96"/>
        <v>14944000</v>
      </c>
      <c r="L1011" s="261">
        <f t="shared" si="99"/>
        <v>0</v>
      </c>
      <c r="M1011" s="14"/>
    </row>
    <row r="1012" spans="1:13" ht="61.5" customHeight="1" x14ac:dyDescent="0.3">
      <c r="A1012" s="69"/>
      <c r="B1012" s="8"/>
      <c r="C1012" s="82" t="s">
        <v>248</v>
      </c>
      <c r="D1012" s="34" t="s">
        <v>29</v>
      </c>
      <c r="E1012" s="27" t="s">
        <v>23</v>
      </c>
      <c r="F1012" s="72">
        <f>11*0.5+11*1.1+1.8*1.1+2.2*0.5+5.9*0.5</f>
        <v>23.630000000000003</v>
      </c>
      <c r="G1012" s="29">
        <v>792000</v>
      </c>
      <c r="H1012" s="37">
        <v>0.8</v>
      </c>
      <c r="I1012" s="31">
        <v>1.1479999999999999</v>
      </c>
      <c r="J1012" s="223">
        <f t="shared" si="100"/>
        <v>17188000</v>
      </c>
      <c r="K1012" s="39">
        <f t="shared" si="96"/>
        <v>17188000</v>
      </c>
      <c r="L1012" s="261">
        <f t="shared" si="99"/>
        <v>0</v>
      </c>
      <c r="M1012" s="14"/>
    </row>
    <row r="1013" spans="1:13" ht="61.5" customHeight="1" x14ac:dyDescent="0.3">
      <c r="A1013" s="69"/>
      <c r="B1013" s="8"/>
      <c r="C1013" s="82" t="s">
        <v>249</v>
      </c>
      <c r="D1013" s="34" t="s">
        <v>66</v>
      </c>
      <c r="E1013" s="27" t="s">
        <v>23</v>
      </c>
      <c r="F1013" s="72">
        <f>26.2*0.15</f>
        <v>3.9299999999999997</v>
      </c>
      <c r="G1013" s="29">
        <v>339000</v>
      </c>
      <c r="H1013" s="38">
        <v>0.8</v>
      </c>
      <c r="I1013" s="31">
        <v>1.1479999999999999</v>
      </c>
      <c r="J1013" s="223">
        <f t="shared" si="100"/>
        <v>1224000</v>
      </c>
      <c r="K1013" s="39">
        <f t="shared" si="96"/>
        <v>1224000</v>
      </c>
      <c r="L1013" s="261">
        <f t="shared" si="99"/>
        <v>0</v>
      </c>
      <c r="M1013" s="14"/>
    </row>
    <row r="1014" spans="1:13" ht="61.5" customHeight="1" x14ac:dyDescent="0.3">
      <c r="A1014" s="69"/>
      <c r="B1014" s="8"/>
      <c r="C1014" s="82" t="s">
        <v>250</v>
      </c>
      <c r="D1014" s="44" t="s">
        <v>33</v>
      </c>
      <c r="E1014" s="27" t="s">
        <v>23</v>
      </c>
      <c r="F1014" s="72">
        <f>18.3*2+3.5*0.9</f>
        <v>39.75</v>
      </c>
      <c r="G1014" s="29">
        <v>453000</v>
      </c>
      <c r="H1014" s="45">
        <v>0.8</v>
      </c>
      <c r="I1014" s="31">
        <v>1.1479999999999999</v>
      </c>
      <c r="J1014" s="223">
        <f t="shared" si="100"/>
        <v>16537000</v>
      </c>
      <c r="K1014" s="39">
        <f t="shared" si="96"/>
        <v>16537000</v>
      </c>
      <c r="L1014" s="261">
        <f t="shared" si="99"/>
        <v>0</v>
      </c>
      <c r="M1014" s="14"/>
    </row>
    <row r="1015" spans="1:13" ht="61.5" customHeight="1" x14ac:dyDescent="0.3">
      <c r="A1015" s="69"/>
      <c r="B1015" s="8"/>
      <c r="C1015" s="143" t="s">
        <v>251</v>
      </c>
      <c r="D1015" s="34" t="s">
        <v>28</v>
      </c>
      <c r="E1015" s="27" t="s">
        <v>23</v>
      </c>
      <c r="F1015" s="28">
        <f>3.7*0.25+1.8*0.25</f>
        <v>1.375</v>
      </c>
      <c r="G1015" s="11">
        <v>396000</v>
      </c>
      <c r="H1015" s="38">
        <v>0.8</v>
      </c>
      <c r="I1015" s="31">
        <v>1.1479999999999999</v>
      </c>
      <c r="J1015" s="223">
        <f t="shared" si="100"/>
        <v>500000</v>
      </c>
      <c r="K1015" s="39">
        <f t="shared" si="96"/>
        <v>500000</v>
      </c>
      <c r="L1015" s="261">
        <f t="shared" si="99"/>
        <v>0</v>
      </c>
      <c r="M1015" s="14"/>
    </row>
    <row r="1016" spans="1:13" ht="61.5" customHeight="1" x14ac:dyDescent="0.3">
      <c r="A1016" s="104"/>
      <c r="B1016" s="105"/>
      <c r="C1016" s="113" t="s">
        <v>252</v>
      </c>
      <c r="D1016" s="26" t="s">
        <v>24</v>
      </c>
      <c r="E1016" s="27" t="s">
        <v>25</v>
      </c>
      <c r="F1016" s="123">
        <f>(0.45*0.45*2.6)*2</f>
        <v>1.0530000000000002</v>
      </c>
      <c r="G1016" s="29">
        <v>2828000</v>
      </c>
      <c r="H1016" s="30">
        <v>0.8</v>
      </c>
      <c r="I1016" s="31">
        <v>1.1479999999999999</v>
      </c>
      <c r="J1016" s="223">
        <f t="shared" si="100"/>
        <v>2735000</v>
      </c>
      <c r="K1016" s="39">
        <f t="shared" si="96"/>
        <v>2735000</v>
      </c>
      <c r="L1016" s="261">
        <f t="shared" si="99"/>
        <v>0</v>
      </c>
      <c r="M1016" s="14"/>
    </row>
    <row r="1017" spans="1:13" ht="61.5" customHeight="1" x14ac:dyDescent="0.3">
      <c r="A1017" s="69"/>
      <c r="B1017" s="8"/>
      <c r="C1017" s="82" t="s">
        <v>253</v>
      </c>
      <c r="D1017" s="34" t="s">
        <v>66</v>
      </c>
      <c r="E1017" s="27" t="s">
        <v>23</v>
      </c>
      <c r="F1017" s="91">
        <f>(0.45*2)*8</f>
        <v>7.2</v>
      </c>
      <c r="G1017" s="29">
        <v>339000</v>
      </c>
      <c r="H1017" s="38">
        <v>0.8</v>
      </c>
      <c r="I1017" s="31">
        <v>1.1479999999999999</v>
      </c>
      <c r="J1017" s="223">
        <f t="shared" si="100"/>
        <v>2242000</v>
      </c>
      <c r="K1017" s="39">
        <f t="shared" si="96"/>
        <v>2242000</v>
      </c>
      <c r="L1017" s="261">
        <f t="shared" si="99"/>
        <v>0</v>
      </c>
      <c r="M1017" s="14"/>
    </row>
    <row r="1018" spans="1:13" ht="61.5" customHeight="1" x14ac:dyDescent="0.3">
      <c r="A1018" s="69"/>
      <c r="B1018" s="8"/>
      <c r="C1018" s="82" t="s">
        <v>254</v>
      </c>
      <c r="D1018" s="26" t="s">
        <v>26</v>
      </c>
      <c r="E1018" s="27" t="s">
        <v>23</v>
      </c>
      <c r="F1018" s="89">
        <f>2.8*2</f>
        <v>5.6</v>
      </c>
      <c r="G1018" s="29">
        <v>679000</v>
      </c>
      <c r="H1018" s="45">
        <v>0.8</v>
      </c>
      <c r="I1018" s="31">
        <v>1.1479999999999999</v>
      </c>
      <c r="J1018" s="223">
        <f t="shared" si="100"/>
        <v>3492000</v>
      </c>
      <c r="K1018" s="39">
        <f t="shared" si="96"/>
        <v>3492000</v>
      </c>
      <c r="L1018" s="261"/>
      <c r="M1018" s="14"/>
    </row>
    <row r="1019" spans="1:13" ht="61.5" customHeight="1" x14ac:dyDescent="0.3">
      <c r="A1019" s="69"/>
      <c r="B1019" s="8"/>
      <c r="C1019" s="82" t="s">
        <v>255</v>
      </c>
      <c r="D1019" s="44" t="s">
        <v>33</v>
      </c>
      <c r="E1019" s="27" t="s">
        <v>23</v>
      </c>
      <c r="F1019" s="89">
        <f>5.2*2.6+3.5*0.6+(1.2*2.4)*2</f>
        <v>21.380000000000003</v>
      </c>
      <c r="G1019" s="29">
        <v>453000</v>
      </c>
      <c r="H1019" s="45">
        <v>0.8</v>
      </c>
      <c r="I1019" s="31">
        <v>1.1479999999999999</v>
      </c>
      <c r="J1019" s="223">
        <f t="shared" si="100"/>
        <v>8895000</v>
      </c>
      <c r="K1019" s="39">
        <f t="shared" si="96"/>
        <v>8895000</v>
      </c>
      <c r="L1019" s="261"/>
      <c r="M1019" s="14"/>
    </row>
    <row r="1020" spans="1:13" ht="61.5" customHeight="1" x14ac:dyDescent="0.3">
      <c r="A1020" s="153"/>
      <c r="B1020" s="154"/>
      <c r="C1020" s="155" t="s">
        <v>256</v>
      </c>
      <c r="D1020" s="34" t="s">
        <v>55</v>
      </c>
      <c r="E1020" s="27" t="s">
        <v>23</v>
      </c>
      <c r="F1020" s="156">
        <f>(4.8*0.3)*2+0.6*0.8</f>
        <v>3.36</v>
      </c>
      <c r="G1020" s="29">
        <v>905000</v>
      </c>
      <c r="H1020" s="37">
        <v>0.8</v>
      </c>
      <c r="I1020" s="79">
        <v>1.1479999999999999</v>
      </c>
      <c r="J1020" s="223">
        <f t="shared" si="100"/>
        <v>2793000</v>
      </c>
      <c r="K1020" s="39">
        <f t="shared" si="96"/>
        <v>2793000</v>
      </c>
      <c r="L1020" s="262">
        <f t="shared" ref="L1020:L1071" si="101">J1020-K1020</f>
        <v>0</v>
      </c>
      <c r="M1020" s="24"/>
    </row>
    <row r="1021" spans="1:13" ht="61.5" customHeight="1" x14ac:dyDescent="0.3">
      <c r="A1021" s="69"/>
      <c r="B1021" s="8"/>
      <c r="C1021" s="82" t="s">
        <v>257</v>
      </c>
      <c r="D1021" s="80" t="s">
        <v>58</v>
      </c>
      <c r="E1021" s="27" t="s">
        <v>35</v>
      </c>
      <c r="F1021" s="74">
        <v>2</v>
      </c>
      <c r="G1021" s="29">
        <v>1065100</v>
      </c>
      <c r="H1021" s="50">
        <v>1</v>
      </c>
      <c r="I1021" s="51">
        <v>1</v>
      </c>
      <c r="J1021" s="223">
        <f t="shared" si="100"/>
        <v>2130000</v>
      </c>
      <c r="K1021" s="39">
        <f t="shared" si="96"/>
        <v>2130000</v>
      </c>
      <c r="L1021" s="261">
        <f t="shared" si="101"/>
        <v>0</v>
      </c>
      <c r="M1021" s="14"/>
    </row>
    <row r="1022" spans="1:13" ht="61.5" customHeight="1" x14ac:dyDescent="0.3">
      <c r="A1022" s="69"/>
      <c r="B1022" s="8"/>
      <c r="C1022" s="82" t="s">
        <v>258</v>
      </c>
      <c r="D1022" s="58" t="s">
        <v>41</v>
      </c>
      <c r="E1022" s="59" t="s">
        <v>42</v>
      </c>
      <c r="F1022" s="98">
        <v>17</v>
      </c>
      <c r="G1022" s="11">
        <v>10650</v>
      </c>
      <c r="H1022" s="60">
        <v>1</v>
      </c>
      <c r="I1022" s="61">
        <v>1</v>
      </c>
      <c r="J1022" s="223">
        <f t="shared" si="100"/>
        <v>181000</v>
      </c>
      <c r="K1022" s="39">
        <f t="shared" si="96"/>
        <v>181000</v>
      </c>
      <c r="L1022" s="261">
        <f t="shared" si="101"/>
        <v>0</v>
      </c>
      <c r="M1022" s="14"/>
    </row>
    <row r="1023" spans="1:13" ht="61.5" customHeight="1" x14ac:dyDescent="0.3">
      <c r="A1023" s="69"/>
      <c r="B1023" s="8"/>
      <c r="C1023" s="82" t="s">
        <v>259</v>
      </c>
      <c r="D1023" s="140" t="s">
        <v>824</v>
      </c>
      <c r="E1023" s="174" t="s">
        <v>828</v>
      </c>
      <c r="F1023" s="72">
        <v>5</v>
      </c>
      <c r="G1023" s="180">
        <v>3200</v>
      </c>
      <c r="H1023" s="50">
        <v>1</v>
      </c>
      <c r="I1023" s="51">
        <v>1</v>
      </c>
      <c r="J1023" s="229">
        <f t="shared" si="100"/>
        <v>16000</v>
      </c>
      <c r="K1023" s="39">
        <f t="shared" si="96"/>
        <v>16000</v>
      </c>
      <c r="L1023" s="261">
        <f t="shared" si="101"/>
        <v>0</v>
      </c>
      <c r="M1023" s="14"/>
    </row>
    <row r="1024" spans="1:13" ht="61.5" customHeight="1" x14ac:dyDescent="0.3">
      <c r="A1024" s="69"/>
      <c r="B1024" s="8"/>
      <c r="C1024" s="113" t="s">
        <v>43</v>
      </c>
      <c r="D1024" s="176" t="s">
        <v>44</v>
      </c>
      <c r="E1024" s="126" t="s">
        <v>45</v>
      </c>
      <c r="F1024" s="127">
        <v>6</v>
      </c>
      <c r="G1024" s="177">
        <v>28000</v>
      </c>
      <c r="H1024" s="178">
        <v>0.8</v>
      </c>
      <c r="I1024" s="179">
        <v>1.1479999999999999</v>
      </c>
      <c r="J1024" s="223">
        <f t="shared" si="100"/>
        <v>154000</v>
      </c>
      <c r="K1024" s="39">
        <f t="shared" si="96"/>
        <v>154000</v>
      </c>
      <c r="L1024" s="261">
        <f t="shared" si="101"/>
        <v>0</v>
      </c>
      <c r="M1024" s="14"/>
    </row>
    <row r="1025" spans="1:13" ht="61.5" customHeight="1" x14ac:dyDescent="0.3">
      <c r="A1025" s="69"/>
      <c r="B1025" s="8"/>
      <c r="C1025" s="82" t="s">
        <v>46</v>
      </c>
      <c r="D1025" s="42" t="s">
        <v>47</v>
      </c>
      <c r="E1025" s="63" t="s">
        <v>45</v>
      </c>
      <c r="F1025" s="77">
        <v>6</v>
      </c>
      <c r="G1025" s="46">
        <v>28000</v>
      </c>
      <c r="H1025" s="56">
        <v>0.8</v>
      </c>
      <c r="I1025" s="31">
        <v>1.1479999999999999</v>
      </c>
      <c r="J1025" s="223">
        <f t="shared" si="100"/>
        <v>154000</v>
      </c>
      <c r="K1025" s="39">
        <f t="shared" si="96"/>
        <v>154000</v>
      </c>
      <c r="L1025" s="261">
        <f t="shared" si="101"/>
        <v>0</v>
      </c>
      <c r="M1025" s="14"/>
    </row>
    <row r="1026" spans="1:13" ht="61.5" customHeight="1" x14ac:dyDescent="0.3">
      <c r="A1026" s="69"/>
      <c r="B1026" s="8"/>
      <c r="C1026" s="82" t="s">
        <v>260</v>
      </c>
      <c r="D1026" s="34" t="s">
        <v>31</v>
      </c>
      <c r="E1026" s="27" t="s">
        <v>23</v>
      </c>
      <c r="F1026" s="75">
        <f>8*5.5</f>
        <v>44</v>
      </c>
      <c r="G1026" s="29">
        <v>339000</v>
      </c>
      <c r="H1026" s="37">
        <v>0.8</v>
      </c>
      <c r="I1026" s="31">
        <v>1.1479999999999999</v>
      </c>
      <c r="J1026" s="223">
        <f t="shared" si="100"/>
        <v>13699000</v>
      </c>
      <c r="K1026" s="39">
        <f t="shared" si="96"/>
        <v>13699000</v>
      </c>
      <c r="L1026" s="261">
        <f t="shared" si="101"/>
        <v>0</v>
      </c>
      <c r="M1026" s="14"/>
    </row>
    <row r="1027" spans="1:13" ht="61.5" customHeight="1" x14ac:dyDescent="0.3">
      <c r="A1027" s="69"/>
      <c r="B1027" s="8"/>
      <c r="C1027" s="82" t="s">
        <v>261</v>
      </c>
      <c r="D1027" s="97" t="s">
        <v>92</v>
      </c>
      <c r="E1027" s="27" t="s">
        <v>35</v>
      </c>
      <c r="F1027" s="98">
        <v>10</v>
      </c>
      <c r="G1027" s="29">
        <v>21300</v>
      </c>
      <c r="H1027" s="50">
        <v>1</v>
      </c>
      <c r="I1027" s="51">
        <v>1</v>
      </c>
      <c r="J1027" s="223">
        <f t="shared" si="100"/>
        <v>213000</v>
      </c>
      <c r="K1027" s="39">
        <f t="shared" si="96"/>
        <v>213000</v>
      </c>
      <c r="L1027" s="261">
        <f t="shared" si="101"/>
        <v>0</v>
      </c>
      <c r="M1027" s="14"/>
    </row>
    <row r="1028" spans="1:13" ht="61.5" customHeight="1" x14ac:dyDescent="0.3">
      <c r="A1028" s="69"/>
      <c r="B1028" s="8"/>
      <c r="C1028" s="82" t="s">
        <v>262</v>
      </c>
      <c r="D1028" s="34" t="s">
        <v>30</v>
      </c>
      <c r="E1028" s="96" t="s">
        <v>91</v>
      </c>
      <c r="F1028" s="72">
        <f>14.8*0.8</f>
        <v>11.840000000000002</v>
      </c>
      <c r="G1028" s="11">
        <v>679000</v>
      </c>
      <c r="H1028" s="37">
        <v>0.8</v>
      </c>
      <c r="I1028" s="79">
        <v>1.1479999999999999</v>
      </c>
      <c r="J1028" s="223">
        <f t="shared" si="100"/>
        <v>7383000</v>
      </c>
      <c r="K1028" s="39">
        <f t="shared" si="96"/>
        <v>7383000</v>
      </c>
      <c r="L1028" s="261">
        <f t="shared" si="101"/>
        <v>0</v>
      </c>
      <c r="M1028" s="14"/>
    </row>
    <row r="1029" spans="1:13" ht="61.5" customHeight="1" x14ac:dyDescent="0.3">
      <c r="A1029" s="69"/>
      <c r="B1029" s="8"/>
      <c r="C1029" s="82" t="s">
        <v>263</v>
      </c>
      <c r="D1029" s="34" t="s">
        <v>66</v>
      </c>
      <c r="E1029" s="27" t="s">
        <v>23</v>
      </c>
      <c r="F1029" s="72">
        <f>8.4*3.2</f>
        <v>26.880000000000003</v>
      </c>
      <c r="G1029" s="29">
        <v>339000</v>
      </c>
      <c r="H1029" s="38">
        <v>0.8</v>
      </c>
      <c r="I1029" s="31">
        <v>1.1479999999999999</v>
      </c>
      <c r="J1029" s="223">
        <f t="shared" si="100"/>
        <v>8369000</v>
      </c>
      <c r="K1029" s="39">
        <f t="shared" si="96"/>
        <v>8369000</v>
      </c>
      <c r="L1029" s="261">
        <f t="shared" si="101"/>
        <v>0</v>
      </c>
      <c r="M1029" s="14"/>
    </row>
    <row r="1030" spans="1:13" ht="61.5" customHeight="1" x14ac:dyDescent="0.3">
      <c r="A1030" s="69"/>
      <c r="B1030" s="8"/>
      <c r="C1030" s="82" t="s">
        <v>264</v>
      </c>
      <c r="D1030" s="26" t="s">
        <v>36</v>
      </c>
      <c r="E1030" s="27" t="s">
        <v>35</v>
      </c>
      <c r="F1030" s="98">
        <v>3</v>
      </c>
      <c r="G1030" s="49">
        <v>213020</v>
      </c>
      <c r="H1030" s="52">
        <v>1</v>
      </c>
      <c r="I1030" s="53">
        <v>1</v>
      </c>
      <c r="J1030" s="223">
        <f t="shared" si="100"/>
        <v>639000</v>
      </c>
      <c r="K1030" s="39">
        <f t="shared" si="96"/>
        <v>639000</v>
      </c>
      <c r="L1030" s="261">
        <f t="shared" si="101"/>
        <v>0</v>
      </c>
      <c r="M1030" s="14"/>
    </row>
    <row r="1031" spans="1:13" ht="53.25" customHeight="1" x14ac:dyDescent="0.3">
      <c r="A1031" s="149">
        <v>70</v>
      </c>
      <c r="B1031" s="109" t="s">
        <v>993</v>
      </c>
      <c r="C1031" s="455" t="s">
        <v>994</v>
      </c>
      <c r="D1031" s="456"/>
      <c r="E1031" s="456"/>
      <c r="F1031" s="456"/>
      <c r="G1031" s="456"/>
      <c r="H1031" s="456"/>
      <c r="I1031" s="457"/>
      <c r="J1031" s="221">
        <f>SUM(J1032:J1071)</f>
        <v>504464000</v>
      </c>
      <c r="K1031" s="39">
        <f t="shared" ref="K1031:K1094" si="102">ROUND(F1031*G1031*H1031*I1031,-3)</f>
        <v>0</v>
      </c>
      <c r="L1031" s="261">
        <f t="shared" si="101"/>
        <v>504464000</v>
      </c>
      <c r="M1031" s="24"/>
    </row>
    <row r="1032" spans="1:13" ht="80.25" customHeight="1" x14ac:dyDescent="0.3">
      <c r="A1032" s="67"/>
      <c r="B1032" s="68"/>
      <c r="C1032" s="20" t="s">
        <v>995</v>
      </c>
      <c r="D1032" s="267"/>
      <c r="E1032" s="27" t="s">
        <v>23</v>
      </c>
      <c r="F1032" s="35">
        <v>196.9</v>
      </c>
      <c r="G1032" s="464" t="s">
        <v>1122</v>
      </c>
      <c r="H1032" s="464"/>
      <c r="I1032" s="465"/>
      <c r="J1032" s="227"/>
      <c r="K1032" s="39"/>
      <c r="L1032" s="261">
        <f t="shared" si="101"/>
        <v>0</v>
      </c>
      <c r="M1032" s="14"/>
    </row>
    <row r="1033" spans="1:13" ht="80.25" customHeight="1" x14ac:dyDescent="0.3">
      <c r="A1033" s="69"/>
      <c r="B1033" s="8"/>
      <c r="C1033" s="82" t="s">
        <v>996</v>
      </c>
      <c r="D1033" s="269" t="s">
        <v>88</v>
      </c>
      <c r="E1033" s="8" t="s">
        <v>25</v>
      </c>
      <c r="F1033" s="72">
        <f>(0.45*0.45*4.5)*2</f>
        <v>1.8225000000000002</v>
      </c>
      <c r="G1033" s="11">
        <v>2828000</v>
      </c>
      <c r="H1033" s="45">
        <v>0.8</v>
      </c>
      <c r="I1033" s="31">
        <v>1.1479999999999999</v>
      </c>
      <c r="J1033" s="223">
        <f t="shared" ref="J1033:J1071" si="103">ROUND(F1033*G1033*H1033*I1033,-3)</f>
        <v>4733000</v>
      </c>
      <c r="K1033" s="39">
        <f t="shared" si="102"/>
        <v>4733000</v>
      </c>
      <c r="L1033" s="261">
        <f t="shared" si="101"/>
        <v>0</v>
      </c>
      <c r="M1033" s="14"/>
    </row>
    <row r="1034" spans="1:13" ht="78.75" customHeight="1" x14ac:dyDescent="0.3">
      <c r="A1034" s="69"/>
      <c r="B1034" s="8"/>
      <c r="C1034" s="82" t="s">
        <v>997</v>
      </c>
      <c r="D1034" s="269" t="s">
        <v>88</v>
      </c>
      <c r="E1034" s="27" t="s">
        <v>25</v>
      </c>
      <c r="F1034" s="72">
        <f>(0.35*0.35*3.4)*2</f>
        <v>0.83299999999999985</v>
      </c>
      <c r="G1034" s="29">
        <v>2828000</v>
      </c>
      <c r="H1034" s="45">
        <v>0.8</v>
      </c>
      <c r="I1034" s="31">
        <v>1.1479999999999999</v>
      </c>
      <c r="J1034" s="223">
        <f t="shared" si="103"/>
        <v>2163000</v>
      </c>
      <c r="K1034" s="39">
        <f t="shared" si="102"/>
        <v>2163000</v>
      </c>
      <c r="L1034" s="261">
        <f t="shared" si="101"/>
        <v>0</v>
      </c>
      <c r="M1034" s="14"/>
    </row>
    <row r="1035" spans="1:13" ht="61.5" customHeight="1" x14ac:dyDescent="0.3">
      <c r="A1035" s="69"/>
      <c r="B1035" s="8"/>
      <c r="C1035" s="82" t="s">
        <v>998</v>
      </c>
      <c r="D1035" s="270" t="s">
        <v>562</v>
      </c>
      <c r="E1035" s="27" t="s">
        <v>23</v>
      </c>
      <c r="F1035" s="72">
        <f>4.9*2+(2.3*2)*2+2.2*0.6</f>
        <v>20.32</v>
      </c>
      <c r="G1035" s="29">
        <v>577000</v>
      </c>
      <c r="H1035" s="45">
        <v>0.8</v>
      </c>
      <c r="I1035" s="31">
        <v>1.1479999999999999</v>
      </c>
      <c r="J1035" s="223">
        <f t="shared" si="103"/>
        <v>10768000</v>
      </c>
      <c r="K1035" s="39">
        <f t="shared" si="102"/>
        <v>10768000</v>
      </c>
      <c r="L1035" s="261">
        <f t="shared" si="101"/>
        <v>0</v>
      </c>
      <c r="M1035" s="14"/>
    </row>
    <row r="1036" spans="1:13" ht="61.5" customHeight="1" x14ac:dyDescent="0.3">
      <c r="A1036" s="69"/>
      <c r="B1036" s="8"/>
      <c r="C1036" s="82" t="s">
        <v>999</v>
      </c>
      <c r="D1036" s="267" t="s">
        <v>26</v>
      </c>
      <c r="E1036" s="27" t="s">
        <v>23</v>
      </c>
      <c r="F1036" s="72">
        <f>2.3*2.6</f>
        <v>5.9799999999999995</v>
      </c>
      <c r="G1036" s="29">
        <v>679000</v>
      </c>
      <c r="H1036" s="45">
        <v>0.8</v>
      </c>
      <c r="I1036" s="31">
        <v>1.1479999999999999</v>
      </c>
      <c r="J1036" s="223">
        <f t="shared" si="103"/>
        <v>3729000</v>
      </c>
      <c r="K1036" s="39">
        <f t="shared" si="102"/>
        <v>3729000</v>
      </c>
      <c r="L1036" s="261">
        <f t="shared" si="101"/>
        <v>0</v>
      </c>
      <c r="M1036" s="14"/>
    </row>
    <row r="1037" spans="1:13" ht="61.5" customHeight="1" x14ac:dyDescent="0.3">
      <c r="A1037" s="69"/>
      <c r="B1037" s="8"/>
      <c r="C1037" s="82" t="s">
        <v>1000</v>
      </c>
      <c r="D1037" s="270" t="s">
        <v>29</v>
      </c>
      <c r="E1037" s="27" t="s">
        <v>23</v>
      </c>
      <c r="F1037" s="72">
        <f>9.5*1.75+0.8*2.3+11.6*0.4+8.1*0.45</f>
        <v>26.75</v>
      </c>
      <c r="G1037" s="29">
        <v>792000</v>
      </c>
      <c r="H1037" s="45">
        <v>0.8</v>
      </c>
      <c r="I1037" s="31">
        <v>1.1479999999999999</v>
      </c>
      <c r="J1037" s="223">
        <f t="shared" si="103"/>
        <v>19457000</v>
      </c>
      <c r="K1037" s="39">
        <f t="shared" si="102"/>
        <v>19457000</v>
      </c>
      <c r="L1037" s="261">
        <f t="shared" si="101"/>
        <v>0</v>
      </c>
      <c r="M1037" s="14"/>
    </row>
    <row r="1038" spans="1:13" ht="61.5" customHeight="1" x14ac:dyDescent="0.3">
      <c r="A1038" s="69"/>
      <c r="B1038" s="8"/>
      <c r="C1038" s="82" t="s">
        <v>1001</v>
      </c>
      <c r="D1038" s="271" t="s">
        <v>34</v>
      </c>
      <c r="E1038" s="27" t="s">
        <v>23</v>
      </c>
      <c r="F1038" s="75">
        <f>5.4*0.3+1.2*0.3</f>
        <v>1.98</v>
      </c>
      <c r="G1038" s="46">
        <v>566000</v>
      </c>
      <c r="H1038" s="45">
        <v>0.8</v>
      </c>
      <c r="I1038" s="31">
        <v>1.1479999999999999</v>
      </c>
      <c r="J1038" s="225">
        <f t="shared" si="103"/>
        <v>1029000</v>
      </c>
      <c r="K1038" s="39">
        <f t="shared" si="102"/>
        <v>1029000</v>
      </c>
      <c r="L1038" s="261">
        <f t="shared" si="101"/>
        <v>0</v>
      </c>
      <c r="M1038" s="14"/>
    </row>
    <row r="1039" spans="1:13" ht="61.5" customHeight="1" x14ac:dyDescent="0.3">
      <c r="A1039" s="69"/>
      <c r="B1039" s="8"/>
      <c r="C1039" s="82" t="s">
        <v>1002</v>
      </c>
      <c r="D1039" s="270" t="s">
        <v>101</v>
      </c>
      <c r="E1039" s="96" t="s">
        <v>91</v>
      </c>
      <c r="F1039" s="72">
        <f>2.5*1.6+(1.6*1.2)*2+1.6*1.8</f>
        <v>10.72</v>
      </c>
      <c r="G1039" s="29">
        <v>339000</v>
      </c>
      <c r="H1039" s="45">
        <v>0.8</v>
      </c>
      <c r="I1039" s="31">
        <v>1.1479999999999999</v>
      </c>
      <c r="J1039" s="223">
        <f t="shared" si="103"/>
        <v>3338000</v>
      </c>
      <c r="K1039" s="39">
        <f t="shared" si="102"/>
        <v>3338000</v>
      </c>
      <c r="L1039" s="261">
        <f t="shared" si="101"/>
        <v>0</v>
      </c>
      <c r="M1039" s="14"/>
    </row>
    <row r="1040" spans="1:13" ht="61.5" customHeight="1" x14ac:dyDescent="0.3">
      <c r="A1040" s="69"/>
      <c r="B1040" s="8"/>
      <c r="C1040" s="82" t="s">
        <v>1003</v>
      </c>
      <c r="D1040" s="270" t="s">
        <v>31</v>
      </c>
      <c r="E1040" s="27" t="s">
        <v>23</v>
      </c>
      <c r="F1040" s="72">
        <f>7.4*2.6</f>
        <v>19.240000000000002</v>
      </c>
      <c r="G1040" s="29">
        <v>339000</v>
      </c>
      <c r="H1040" s="45">
        <v>0.8</v>
      </c>
      <c r="I1040" s="31">
        <v>1.1479999999999999</v>
      </c>
      <c r="J1040" s="223">
        <f t="shared" si="103"/>
        <v>5990000</v>
      </c>
      <c r="K1040" s="39">
        <f t="shared" si="102"/>
        <v>5990000</v>
      </c>
      <c r="L1040" s="261">
        <f t="shared" si="101"/>
        <v>0</v>
      </c>
      <c r="M1040" s="14"/>
    </row>
    <row r="1041" spans="1:13" ht="61.5" customHeight="1" x14ac:dyDescent="0.3">
      <c r="A1041" s="69"/>
      <c r="B1041" s="8"/>
      <c r="C1041" s="82" t="s">
        <v>699</v>
      </c>
      <c r="D1041" s="270" t="s">
        <v>1033</v>
      </c>
      <c r="E1041" s="27" t="s">
        <v>39</v>
      </c>
      <c r="F1041" s="76">
        <v>1</v>
      </c>
      <c r="G1041" s="171">
        <v>1358000</v>
      </c>
      <c r="H1041" s="45">
        <v>0.8</v>
      </c>
      <c r="I1041" s="57">
        <v>1.1479999999999999</v>
      </c>
      <c r="J1041" s="226">
        <f t="shared" si="103"/>
        <v>1247000</v>
      </c>
      <c r="K1041" s="39">
        <f t="shared" si="102"/>
        <v>1247000</v>
      </c>
      <c r="L1041" s="261">
        <f t="shared" si="101"/>
        <v>0</v>
      </c>
      <c r="M1041" s="14"/>
    </row>
    <row r="1042" spans="1:13" ht="61.5" customHeight="1" x14ac:dyDescent="0.3">
      <c r="A1042" s="69"/>
      <c r="B1042" s="8"/>
      <c r="C1042" s="82" t="s">
        <v>1004</v>
      </c>
      <c r="D1042" s="271" t="s">
        <v>32</v>
      </c>
      <c r="E1042" s="27" t="s">
        <v>23</v>
      </c>
      <c r="F1042" s="89">
        <f>7.7*7.6+(5.4*2.9)*2</f>
        <v>89.84</v>
      </c>
      <c r="G1042" s="29">
        <v>215000</v>
      </c>
      <c r="H1042" s="45">
        <v>0.8</v>
      </c>
      <c r="I1042" s="31">
        <v>1.1479999999999999</v>
      </c>
      <c r="J1042" s="223">
        <f t="shared" si="103"/>
        <v>17739000</v>
      </c>
      <c r="K1042" s="39">
        <f t="shared" si="102"/>
        <v>17739000</v>
      </c>
      <c r="L1042" s="261">
        <f t="shared" si="101"/>
        <v>0</v>
      </c>
      <c r="M1042" s="14"/>
    </row>
    <row r="1043" spans="1:13" ht="61.5" customHeight="1" x14ac:dyDescent="0.3">
      <c r="A1043" s="69"/>
      <c r="B1043" s="8"/>
      <c r="C1043" s="82" t="s">
        <v>1005</v>
      </c>
      <c r="D1043" s="274" t="s">
        <v>63</v>
      </c>
      <c r="E1043" s="27" t="s">
        <v>23</v>
      </c>
      <c r="F1043" s="72">
        <f>11.7*8.75</f>
        <v>102.375</v>
      </c>
      <c r="G1043" s="49">
        <v>2975000</v>
      </c>
      <c r="H1043" s="45">
        <v>0.8</v>
      </c>
      <c r="I1043" s="31">
        <v>1.1479999999999999</v>
      </c>
      <c r="J1043" s="223">
        <f t="shared" si="103"/>
        <v>279713000</v>
      </c>
      <c r="K1043" s="39">
        <f t="shared" si="102"/>
        <v>279713000</v>
      </c>
      <c r="L1043" s="261">
        <f t="shared" si="101"/>
        <v>0</v>
      </c>
      <c r="M1043" s="14"/>
    </row>
    <row r="1044" spans="1:13" ht="61.5" customHeight="1" x14ac:dyDescent="0.3">
      <c r="A1044" s="69"/>
      <c r="B1044" s="8"/>
      <c r="C1044" s="82" t="s">
        <v>1006</v>
      </c>
      <c r="D1044" s="274" t="s">
        <v>63</v>
      </c>
      <c r="E1044" s="27" t="s">
        <v>928</v>
      </c>
      <c r="F1044" s="72">
        <f>4.65*2.35+4.45*4.65</f>
        <v>31.620000000000005</v>
      </c>
      <c r="G1044" s="49">
        <v>2975001</v>
      </c>
      <c r="H1044" s="45">
        <v>0.8</v>
      </c>
      <c r="I1044" s="31">
        <v>1.1479999999999999</v>
      </c>
      <c r="J1044" s="223">
        <f t="shared" si="103"/>
        <v>86393000</v>
      </c>
      <c r="K1044" s="39">
        <f t="shared" si="102"/>
        <v>86393000</v>
      </c>
      <c r="L1044" s="261">
        <f t="shared" si="101"/>
        <v>0</v>
      </c>
      <c r="M1044" s="14"/>
    </row>
    <row r="1045" spans="1:13" ht="61.5" customHeight="1" x14ac:dyDescent="0.3">
      <c r="A1045" s="69"/>
      <c r="B1045" s="8"/>
      <c r="C1045" s="82" t="s">
        <v>1007</v>
      </c>
      <c r="D1045" s="271" t="s">
        <v>54</v>
      </c>
      <c r="E1045" s="27" t="s">
        <v>23</v>
      </c>
      <c r="F1045" s="72">
        <f>3.8*11.1+4.35*2</f>
        <v>50.879999999999995</v>
      </c>
      <c r="G1045" s="46">
        <v>28000</v>
      </c>
      <c r="H1045" s="45">
        <v>0.8</v>
      </c>
      <c r="I1045" s="31">
        <v>1.1479999999999999</v>
      </c>
      <c r="J1045" s="223">
        <f t="shared" si="103"/>
        <v>1308000</v>
      </c>
      <c r="K1045" s="39">
        <f t="shared" si="102"/>
        <v>1308000</v>
      </c>
      <c r="L1045" s="261">
        <f t="shared" si="101"/>
        <v>0</v>
      </c>
      <c r="M1045" s="14"/>
    </row>
    <row r="1046" spans="1:13" ht="61.5" customHeight="1" x14ac:dyDescent="0.3">
      <c r="A1046" s="69"/>
      <c r="B1046" s="8"/>
      <c r="C1046" s="82" t="s">
        <v>1008</v>
      </c>
      <c r="D1046" s="271" t="s">
        <v>32</v>
      </c>
      <c r="E1046" s="27" t="s">
        <v>23</v>
      </c>
      <c r="F1046" s="89">
        <f>(1.3*3.4)*4</f>
        <v>17.68</v>
      </c>
      <c r="G1046" s="29">
        <v>215000</v>
      </c>
      <c r="H1046" s="45">
        <v>0.8</v>
      </c>
      <c r="I1046" s="31">
        <v>1.1479999999999999</v>
      </c>
      <c r="J1046" s="223">
        <f t="shared" si="103"/>
        <v>3491000</v>
      </c>
      <c r="K1046" s="39">
        <f t="shared" si="102"/>
        <v>3491000</v>
      </c>
      <c r="L1046" s="261">
        <f t="shared" si="101"/>
        <v>0</v>
      </c>
      <c r="M1046" s="14"/>
    </row>
    <row r="1047" spans="1:13" ht="61.5" customHeight="1" x14ac:dyDescent="0.3">
      <c r="A1047" s="69"/>
      <c r="B1047" s="8"/>
      <c r="C1047" s="82" t="s">
        <v>1009</v>
      </c>
      <c r="D1047" s="267" t="s">
        <v>48</v>
      </c>
      <c r="E1047" s="71" t="s">
        <v>23</v>
      </c>
      <c r="F1047" s="72">
        <f>2.2*2.1</f>
        <v>4.620000000000001</v>
      </c>
      <c r="G1047" s="73">
        <v>2263000</v>
      </c>
      <c r="H1047" s="45">
        <v>0.8</v>
      </c>
      <c r="I1047" s="31">
        <v>1.1479999999999999</v>
      </c>
      <c r="J1047" s="223">
        <f t="shared" si="103"/>
        <v>9602000</v>
      </c>
      <c r="K1047" s="39">
        <f t="shared" si="102"/>
        <v>9602000</v>
      </c>
      <c r="L1047" s="261">
        <f t="shared" si="101"/>
        <v>0</v>
      </c>
      <c r="M1047" s="14"/>
    </row>
    <row r="1048" spans="1:13" ht="61.5" customHeight="1" x14ac:dyDescent="0.3">
      <c r="A1048" s="69"/>
      <c r="B1048" s="8"/>
      <c r="C1048" s="82" t="s">
        <v>1010</v>
      </c>
      <c r="D1048" s="270" t="s">
        <v>66</v>
      </c>
      <c r="E1048" s="27" t="s">
        <v>23</v>
      </c>
      <c r="F1048" s="72">
        <f>(0.45*2)*8+(0.35*2)*7</f>
        <v>12.1</v>
      </c>
      <c r="G1048" s="29">
        <v>339000</v>
      </c>
      <c r="H1048" s="45">
        <v>0.8</v>
      </c>
      <c r="I1048" s="79">
        <v>1.1479999999999999</v>
      </c>
      <c r="J1048" s="223">
        <f t="shared" si="103"/>
        <v>3767000</v>
      </c>
      <c r="K1048" s="39">
        <f t="shared" si="102"/>
        <v>3767000</v>
      </c>
      <c r="L1048" s="261">
        <f t="shared" si="101"/>
        <v>0</v>
      </c>
      <c r="M1048" s="14"/>
    </row>
    <row r="1049" spans="1:13" ht="61.5" customHeight="1" x14ac:dyDescent="0.3">
      <c r="A1049" s="69"/>
      <c r="B1049" s="8"/>
      <c r="C1049" s="82" t="s">
        <v>1011</v>
      </c>
      <c r="D1049" s="267" t="s">
        <v>26</v>
      </c>
      <c r="E1049" s="27" t="s">
        <v>23</v>
      </c>
      <c r="F1049" s="72">
        <f>(1.9*0.8)*2</f>
        <v>3.04</v>
      </c>
      <c r="G1049" s="29">
        <v>679000</v>
      </c>
      <c r="H1049" s="45">
        <v>0.8</v>
      </c>
      <c r="I1049" s="31">
        <v>1.1479999999999999</v>
      </c>
      <c r="J1049" s="223">
        <f t="shared" si="103"/>
        <v>1896000</v>
      </c>
      <c r="K1049" s="39">
        <f t="shared" si="102"/>
        <v>1896000</v>
      </c>
      <c r="L1049" s="261">
        <f t="shared" si="101"/>
        <v>0</v>
      </c>
      <c r="M1049" s="14"/>
    </row>
    <row r="1050" spans="1:13" ht="61.5" customHeight="1" x14ac:dyDescent="0.3">
      <c r="A1050" s="69"/>
      <c r="B1050" s="8"/>
      <c r="C1050" s="82" t="s">
        <v>1012</v>
      </c>
      <c r="D1050" s="269" t="s">
        <v>88</v>
      </c>
      <c r="E1050" s="27" t="s">
        <v>25</v>
      </c>
      <c r="F1050" s="72">
        <f>(0.32*0.32*2)*5</f>
        <v>1.024</v>
      </c>
      <c r="G1050" s="29">
        <v>2828000</v>
      </c>
      <c r="H1050" s="45">
        <v>0.8</v>
      </c>
      <c r="I1050" s="31">
        <v>1.1479999999999999</v>
      </c>
      <c r="J1050" s="223">
        <f t="shared" si="103"/>
        <v>2660000</v>
      </c>
      <c r="K1050" s="39">
        <f t="shared" si="102"/>
        <v>2660000</v>
      </c>
      <c r="L1050" s="261">
        <f t="shared" si="101"/>
        <v>0</v>
      </c>
      <c r="M1050" s="14"/>
    </row>
    <row r="1051" spans="1:13" ht="61.5" customHeight="1" x14ac:dyDescent="0.3">
      <c r="A1051" s="69"/>
      <c r="B1051" s="8"/>
      <c r="C1051" s="82" t="s">
        <v>1013</v>
      </c>
      <c r="D1051" s="269" t="s">
        <v>88</v>
      </c>
      <c r="E1051" s="8" t="s">
        <v>25</v>
      </c>
      <c r="F1051" s="72">
        <f>(0.4*0.4*3.9)*2</f>
        <v>1.2480000000000002</v>
      </c>
      <c r="G1051" s="11">
        <v>2828000</v>
      </c>
      <c r="H1051" s="45">
        <v>0.8</v>
      </c>
      <c r="I1051" s="31">
        <v>1.1479999999999999</v>
      </c>
      <c r="J1051" s="223">
        <f t="shared" si="103"/>
        <v>3241000</v>
      </c>
      <c r="K1051" s="39">
        <f t="shared" si="102"/>
        <v>3241000</v>
      </c>
      <c r="L1051" s="261">
        <f t="shared" si="101"/>
        <v>0</v>
      </c>
      <c r="M1051" s="14"/>
    </row>
    <row r="1052" spans="1:13" ht="61.5" customHeight="1" x14ac:dyDescent="0.3">
      <c r="A1052" s="69"/>
      <c r="B1052" s="8"/>
      <c r="C1052" s="82" t="s">
        <v>1028</v>
      </c>
      <c r="D1052" s="271" t="s">
        <v>54</v>
      </c>
      <c r="E1052" s="27" t="s">
        <v>23</v>
      </c>
      <c r="F1052" s="72">
        <f>2.8*0.8+3.3*1.2+3.2*1.2</f>
        <v>10.039999999999999</v>
      </c>
      <c r="G1052" s="46">
        <v>213000</v>
      </c>
      <c r="H1052" s="45">
        <v>0.8</v>
      </c>
      <c r="I1052" s="57">
        <v>1.1479999999999999</v>
      </c>
      <c r="J1052" s="223">
        <f t="shared" si="103"/>
        <v>1964000</v>
      </c>
      <c r="K1052" s="39">
        <f t="shared" si="102"/>
        <v>1964000</v>
      </c>
      <c r="L1052" s="261">
        <f t="shared" si="101"/>
        <v>0</v>
      </c>
      <c r="M1052" s="14"/>
    </row>
    <row r="1053" spans="1:13" ht="61.5" customHeight="1" x14ac:dyDescent="0.3">
      <c r="A1053" s="69"/>
      <c r="B1053" s="8"/>
      <c r="C1053" s="82" t="s">
        <v>1014</v>
      </c>
      <c r="D1053" s="270" t="s">
        <v>55</v>
      </c>
      <c r="E1053" s="27" t="s">
        <v>23</v>
      </c>
      <c r="F1053" s="89">
        <f>0.4*2.2</f>
        <v>0.88000000000000012</v>
      </c>
      <c r="G1053" s="29">
        <v>905000</v>
      </c>
      <c r="H1053" s="45">
        <v>0.8</v>
      </c>
      <c r="I1053" s="79">
        <v>1.1479999999999999</v>
      </c>
      <c r="J1053" s="223">
        <f t="shared" si="103"/>
        <v>731000</v>
      </c>
      <c r="K1053" s="39">
        <f t="shared" si="102"/>
        <v>731000</v>
      </c>
      <c r="L1053" s="261">
        <f t="shared" si="101"/>
        <v>0</v>
      </c>
      <c r="M1053" s="14"/>
    </row>
    <row r="1054" spans="1:13" ht="61.5" customHeight="1" x14ac:dyDescent="0.3">
      <c r="A1054" s="69"/>
      <c r="B1054" s="8"/>
      <c r="C1054" s="82" t="s">
        <v>1015</v>
      </c>
      <c r="D1054" s="270" t="s">
        <v>66</v>
      </c>
      <c r="E1054" s="27" t="s">
        <v>23</v>
      </c>
      <c r="F1054" s="89">
        <f>5.4*1.8+11*1.5+(11*1.2)*2</f>
        <v>52.62</v>
      </c>
      <c r="G1054" s="29">
        <v>339000</v>
      </c>
      <c r="H1054" s="45">
        <v>0.8</v>
      </c>
      <c r="I1054" s="79">
        <v>1.1479999999999999</v>
      </c>
      <c r="J1054" s="223">
        <f t="shared" si="103"/>
        <v>16383000</v>
      </c>
      <c r="K1054" s="39">
        <f t="shared" si="102"/>
        <v>16383000</v>
      </c>
      <c r="L1054" s="261">
        <f t="shared" si="101"/>
        <v>0</v>
      </c>
      <c r="M1054" s="14"/>
    </row>
    <row r="1055" spans="1:13" ht="61.5" customHeight="1" x14ac:dyDescent="0.3">
      <c r="A1055" s="69"/>
      <c r="B1055" s="8"/>
      <c r="C1055" s="82" t="s">
        <v>1016</v>
      </c>
      <c r="D1055" s="267" t="s">
        <v>161</v>
      </c>
      <c r="E1055" s="71" t="s">
        <v>23</v>
      </c>
      <c r="F1055" s="72">
        <f>2.9*2.3</f>
        <v>6.669999999999999</v>
      </c>
      <c r="G1055" s="55">
        <v>396000</v>
      </c>
      <c r="H1055" s="45">
        <v>0.8</v>
      </c>
      <c r="I1055" s="31">
        <v>1.1479999999999999</v>
      </c>
      <c r="J1055" s="223">
        <f t="shared" si="103"/>
        <v>2426000</v>
      </c>
      <c r="K1055" s="39">
        <f t="shared" si="102"/>
        <v>2426000</v>
      </c>
      <c r="L1055" s="261">
        <f t="shared" si="101"/>
        <v>0</v>
      </c>
      <c r="M1055" s="14"/>
    </row>
    <row r="1056" spans="1:13" ht="61.5" customHeight="1" x14ac:dyDescent="0.3">
      <c r="A1056" s="69"/>
      <c r="B1056" s="8"/>
      <c r="C1056" s="82" t="s">
        <v>1017</v>
      </c>
      <c r="D1056" s="271" t="s">
        <v>54</v>
      </c>
      <c r="E1056" s="27" t="s">
        <v>23</v>
      </c>
      <c r="F1056" s="72">
        <f>(0.35*2.4)*2</f>
        <v>1.68</v>
      </c>
      <c r="G1056" s="46">
        <v>28000</v>
      </c>
      <c r="H1056" s="45">
        <v>0.8</v>
      </c>
      <c r="I1056" s="31">
        <v>1.1479999999999999</v>
      </c>
      <c r="J1056" s="223">
        <f t="shared" si="103"/>
        <v>43000</v>
      </c>
      <c r="K1056" s="39">
        <f t="shared" si="102"/>
        <v>43000</v>
      </c>
      <c r="L1056" s="261">
        <f t="shared" si="101"/>
        <v>0</v>
      </c>
      <c r="M1056" s="14"/>
    </row>
    <row r="1057" spans="1:13" ht="61.5" customHeight="1" x14ac:dyDescent="0.3">
      <c r="A1057" s="69"/>
      <c r="B1057" s="8"/>
      <c r="C1057" s="82" t="s">
        <v>1018</v>
      </c>
      <c r="D1057" s="271" t="s">
        <v>32</v>
      </c>
      <c r="E1057" s="27" t="s">
        <v>23</v>
      </c>
      <c r="F1057" s="72">
        <f>11.7*4.9</f>
        <v>57.33</v>
      </c>
      <c r="G1057" s="29">
        <v>215000</v>
      </c>
      <c r="H1057" s="45">
        <v>0.8</v>
      </c>
      <c r="I1057" s="31">
        <v>1.1479999999999999</v>
      </c>
      <c r="J1057" s="223">
        <f t="shared" si="103"/>
        <v>11320000</v>
      </c>
      <c r="K1057" s="39">
        <f t="shared" si="102"/>
        <v>11320000</v>
      </c>
      <c r="L1057" s="261">
        <f t="shared" si="101"/>
        <v>0</v>
      </c>
      <c r="M1057" s="14"/>
    </row>
    <row r="1058" spans="1:13" ht="61.5" customHeight="1" x14ac:dyDescent="0.3">
      <c r="A1058" s="69"/>
      <c r="B1058" s="8"/>
      <c r="C1058" s="82" t="s">
        <v>1019</v>
      </c>
      <c r="D1058" s="192" t="s">
        <v>58</v>
      </c>
      <c r="E1058" s="27" t="s">
        <v>35</v>
      </c>
      <c r="F1058" s="98">
        <v>3</v>
      </c>
      <c r="G1058" s="49">
        <v>532550</v>
      </c>
      <c r="H1058" s="50">
        <v>1</v>
      </c>
      <c r="I1058" s="51">
        <v>1</v>
      </c>
      <c r="J1058" s="223">
        <f t="shared" si="103"/>
        <v>1598000</v>
      </c>
      <c r="K1058" s="39">
        <f t="shared" si="102"/>
        <v>1598000</v>
      </c>
      <c r="L1058" s="261">
        <f t="shared" si="101"/>
        <v>0</v>
      </c>
      <c r="M1058" s="14"/>
    </row>
    <row r="1059" spans="1:13" ht="61.5" customHeight="1" x14ac:dyDescent="0.3">
      <c r="A1059" s="69"/>
      <c r="B1059" s="8"/>
      <c r="C1059" s="82" t="s">
        <v>1020</v>
      </c>
      <c r="D1059" s="192" t="s">
        <v>59</v>
      </c>
      <c r="E1059" s="27" t="s">
        <v>35</v>
      </c>
      <c r="F1059" s="76">
        <v>1</v>
      </c>
      <c r="G1059" s="11">
        <v>286510</v>
      </c>
      <c r="H1059" s="50">
        <v>1</v>
      </c>
      <c r="I1059" s="51">
        <v>1</v>
      </c>
      <c r="J1059" s="223">
        <f t="shared" si="103"/>
        <v>287000</v>
      </c>
      <c r="K1059" s="39">
        <f t="shared" si="102"/>
        <v>287000</v>
      </c>
      <c r="L1059" s="261">
        <f t="shared" si="101"/>
        <v>0</v>
      </c>
      <c r="M1059" s="14"/>
    </row>
    <row r="1060" spans="1:13" ht="61.5" customHeight="1" x14ac:dyDescent="0.3">
      <c r="A1060" s="69"/>
      <c r="B1060" s="8"/>
      <c r="C1060" s="82" t="s">
        <v>1021</v>
      </c>
      <c r="D1060" s="192" t="s">
        <v>59</v>
      </c>
      <c r="E1060" s="27" t="s">
        <v>35</v>
      </c>
      <c r="F1060" s="98">
        <v>2</v>
      </c>
      <c r="G1060" s="55">
        <v>308880</v>
      </c>
      <c r="H1060" s="50">
        <v>1</v>
      </c>
      <c r="I1060" s="51">
        <v>1</v>
      </c>
      <c r="J1060" s="223">
        <f t="shared" si="103"/>
        <v>618000</v>
      </c>
      <c r="K1060" s="39">
        <f t="shared" si="102"/>
        <v>618000</v>
      </c>
      <c r="L1060" s="261">
        <f t="shared" si="101"/>
        <v>0</v>
      </c>
      <c r="M1060" s="14"/>
    </row>
    <row r="1061" spans="1:13" ht="61.5" customHeight="1" x14ac:dyDescent="0.3">
      <c r="A1061" s="69"/>
      <c r="B1061" s="8"/>
      <c r="C1061" s="82" t="s">
        <v>1022</v>
      </c>
      <c r="D1061" s="280" t="s">
        <v>92</v>
      </c>
      <c r="E1061" s="27" t="s">
        <v>35</v>
      </c>
      <c r="F1061" s="98">
        <v>1</v>
      </c>
      <c r="G1061" s="29">
        <v>21300</v>
      </c>
      <c r="H1061" s="50">
        <v>1</v>
      </c>
      <c r="I1061" s="51">
        <v>1</v>
      </c>
      <c r="J1061" s="223">
        <f t="shared" si="103"/>
        <v>21000</v>
      </c>
      <c r="K1061" s="39">
        <f t="shared" si="102"/>
        <v>21000</v>
      </c>
      <c r="L1061" s="261">
        <f t="shared" si="101"/>
        <v>0</v>
      </c>
      <c r="M1061" s="14"/>
    </row>
    <row r="1062" spans="1:13" ht="61.5" customHeight="1" x14ac:dyDescent="0.3">
      <c r="A1062" s="69"/>
      <c r="B1062" s="8"/>
      <c r="C1062" s="82" t="s">
        <v>1023</v>
      </c>
      <c r="D1062" s="284" t="s">
        <v>880</v>
      </c>
      <c r="E1062" s="27" t="s">
        <v>35</v>
      </c>
      <c r="F1062" s="72">
        <v>2</v>
      </c>
      <c r="G1062" s="29">
        <v>154440</v>
      </c>
      <c r="H1062" s="50">
        <v>1</v>
      </c>
      <c r="I1062" s="51">
        <v>1</v>
      </c>
      <c r="J1062" s="223">
        <f t="shared" si="103"/>
        <v>309000</v>
      </c>
      <c r="K1062" s="39">
        <f t="shared" si="102"/>
        <v>309000</v>
      </c>
      <c r="L1062" s="261">
        <f t="shared" si="101"/>
        <v>0</v>
      </c>
      <c r="M1062" s="14"/>
    </row>
    <row r="1063" spans="1:13" ht="61.5" customHeight="1" x14ac:dyDescent="0.3">
      <c r="A1063" s="69"/>
      <c r="B1063" s="8"/>
      <c r="C1063" s="82" t="s">
        <v>992</v>
      </c>
      <c r="D1063" s="267" t="s">
        <v>36</v>
      </c>
      <c r="E1063" s="27" t="s">
        <v>35</v>
      </c>
      <c r="F1063" s="98">
        <v>6</v>
      </c>
      <c r="G1063" s="49">
        <v>213020</v>
      </c>
      <c r="H1063" s="52">
        <v>1</v>
      </c>
      <c r="I1063" s="53">
        <v>1</v>
      </c>
      <c r="J1063" s="223">
        <f t="shared" si="103"/>
        <v>1278000</v>
      </c>
      <c r="K1063" s="39">
        <f t="shared" si="102"/>
        <v>1278000</v>
      </c>
      <c r="L1063" s="261">
        <f t="shared" si="101"/>
        <v>0</v>
      </c>
      <c r="M1063" s="14"/>
    </row>
    <row r="1064" spans="1:13" ht="61.5" customHeight="1" x14ac:dyDescent="0.3">
      <c r="A1064" s="69"/>
      <c r="B1064" s="8"/>
      <c r="C1064" s="82" t="s">
        <v>1024</v>
      </c>
      <c r="D1064" s="276" t="s">
        <v>41</v>
      </c>
      <c r="E1064" s="59" t="s">
        <v>42</v>
      </c>
      <c r="F1064" s="98">
        <v>8</v>
      </c>
      <c r="G1064" s="11">
        <v>31950</v>
      </c>
      <c r="H1064" s="60">
        <v>1</v>
      </c>
      <c r="I1064" s="61">
        <v>1</v>
      </c>
      <c r="J1064" s="223">
        <f t="shared" si="103"/>
        <v>256000</v>
      </c>
      <c r="K1064" s="39">
        <f t="shared" si="102"/>
        <v>256000</v>
      </c>
      <c r="L1064" s="261">
        <f t="shared" si="101"/>
        <v>0</v>
      </c>
      <c r="M1064" s="14"/>
    </row>
    <row r="1065" spans="1:13" ht="61.5" customHeight="1" x14ac:dyDescent="0.3">
      <c r="A1065" s="69"/>
      <c r="B1065" s="8"/>
      <c r="C1065" s="82" t="s">
        <v>1025</v>
      </c>
      <c r="D1065" s="276" t="s">
        <v>41</v>
      </c>
      <c r="E1065" s="59" t="s">
        <v>42</v>
      </c>
      <c r="F1065" s="98">
        <v>29</v>
      </c>
      <c r="G1065" s="11">
        <v>10650</v>
      </c>
      <c r="H1065" s="60">
        <v>1</v>
      </c>
      <c r="I1065" s="61">
        <v>1</v>
      </c>
      <c r="J1065" s="223">
        <f t="shared" si="103"/>
        <v>309000</v>
      </c>
      <c r="K1065" s="39">
        <f t="shared" si="102"/>
        <v>309000</v>
      </c>
      <c r="L1065" s="261">
        <f t="shared" si="101"/>
        <v>0</v>
      </c>
      <c r="M1065" s="14"/>
    </row>
    <row r="1066" spans="1:13" ht="61.5" customHeight="1" x14ac:dyDescent="0.3">
      <c r="A1066" s="69"/>
      <c r="B1066" s="8"/>
      <c r="C1066" s="82" t="s">
        <v>1026</v>
      </c>
      <c r="D1066" s="279" t="s">
        <v>825</v>
      </c>
      <c r="E1066" s="71" t="s">
        <v>35</v>
      </c>
      <c r="F1066" s="98">
        <v>2</v>
      </c>
      <c r="G1066" s="29">
        <v>106510</v>
      </c>
      <c r="H1066" s="37">
        <v>1</v>
      </c>
      <c r="I1066" s="201">
        <v>1</v>
      </c>
      <c r="J1066" s="223">
        <f t="shared" si="103"/>
        <v>213000</v>
      </c>
      <c r="K1066" s="39">
        <f t="shared" si="102"/>
        <v>213000</v>
      </c>
      <c r="L1066" s="261">
        <f t="shared" si="101"/>
        <v>0</v>
      </c>
      <c r="M1066" s="14"/>
    </row>
    <row r="1067" spans="1:13" ht="61.5" customHeight="1" x14ac:dyDescent="0.3">
      <c r="A1067" s="69"/>
      <c r="B1067" s="8"/>
      <c r="C1067" s="82" t="s">
        <v>259</v>
      </c>
      <c r="D1067" s="271" t="s">
        <v>109</v>
      </c>
      <c r="E1067" s="27" t="s">
        <v>35</v>
      </c>
      <c r="F1067" s="77">
        <v>5</v>
      </c>
      <c r="G1067" s="11">
        <v>3200</v>
      </c>
      <c r="H1067" s="50">
        <v>1</v>
      </c>
      <c r="I1067" s="51">
        <v>1</v>
      </c>
      <c r="J1067" s="223">
        <f t="shared" si="103"/>
        <v>16000</v>
      </c>
      <c r="K1067" s="39">
        <f t="shared" si="102"/>
        <v>16000</v>
      </c>
      <c r="L1067" s="261">
        <f t="shared" si="101"/>
        <v>0</v>
      </c>
      <c r="M1067" s="14"/>
    </row>
    <row r="1068" spans="1:13" ht="61.5" customHeight="1" x14ac:dyDescent="0.3">
      <c r="A1068" s="69"/>
      <c r="B1068" s="8"/>
      <c r="C1068" s="82" t="s">
        <v>1029</v>
      </c>
      <c r="D1068" s="267" t="s">
        <v>24</v>
      </c>
      <c r="E1068" s="8" t="s">
        <v>25</v>
      </c>
      <c r="F1068" s="72">
        <f>2*2.1*0.15</f>
        <v>0.63</v>
      </c>
      <c r="G1068" s="29">
        <v>2828000</v>
      </c>
      <c r="H1068" s="45">
        <v>0.8</v>
      </c>
      <c r="I1068" s="31">
        <v>1.1479999999999999</v>
      </c>
      <c r="J1068" s="223">
        <f t="shared" si="103"/>
        <v>1636000</v>
      </c>
      <c r="K1068" s="39">
        <f t="shared" si="102"/>
        <v>1636000</v>
      </c>
      <c r="L1068" s="261">
        <f t="shared" si="101"/>
        <v>0</v>
      </c>
      <c r="M1068" s="14"/>
    </row>
    <row r="1069" spans="1:13" ht="61.5" customHeight="1" x14ac:dyDescent="0.3">
      <c r="A1069" s="69"/>
      <c r="B1069" s="8"/>
      <c r="C1069" s="82" t="s">
        <v>1027</v>
      </c>
      <c r="D1069" s="272" t="s">
        <v>33</v>
      </c>
      <c r="E1069" s="27" t="s">
        <v>23</v>
      </c>
      <c r="F1069" s="72">
        <f>2.9*2.1</f>
        <v>6.09</v>
      </c>
      <c r="G1069" s="29">
        <v>453000</v>
      </c>
      <c r="H1069" s="45">
        <v>0.8</v>
      </c>
      <c r="I1069" s="31">
        <v>1.1479999999999999</v>
      </c>
      <c r="J1069" s="223">
        <f t="shared" si="103"/>
        <v>2534000</v>
      </c>
      <c r="K1069" s="39">
        <f t="shared" si="102"/>
        <v>2534000</v>
      </c>
      <c r="L1069" s="261">
        <f t="shared" si="101"/>
        <v>0</v>
      </c>
      <c r="M1069" s="14"/>
    </row>
    <row r="1070" spans="1:13" ht="61.5" customHeight="1" x14ac:dyDescent="0.3">
      <c r="A1070" s="69"/>
      <c r="B1070" s="8"/>
      <c r="C1070" s="82" t="s">
        <v>72</v>
      </c>
      <c r="D1070" s="271" t="s">
        <v>44</v>
      </c>
      <c r="E1070" s="63" t="s">
        <v>45</v>
      </c>
      <c r="F1070" s="72">
        <v>5</v>
      </c>
      <c r="G1070" s="46">
        <v>28000</v>
      </c>
      <c r="H1070" s="45">
        <v>0.8</v>
      </c>
      <c r="I1070" s="31">
        <v>1.1479999999999999</v>
      </c>
      <c r="J1070" s="223">
        <f t="shared" si="103"/>
        <v>129000</v>
      </c>
      <c r="K1070" s="39">
        <f t="shared" si="102"/>
        <v>129000</v>
      </c>
      <c r="L1070" s="261">
        <f t="shared" si="101"/>
        <v>0</v>
      </c>
      <c r="M1070" s="14"/>
    </row>
    <row r="1071" spans="1:13" ht="61.5" customHeight="1" x14ac:dyDescent="0.3">
      <c r="A1071" s="69"/>
      <c r="B1071" s="8"/>
      <c r="C1071" s="82" t="s">
        <v>82</v>
      </c>
      <c r="D1071" s="271" t="s">
        <v>47</v>
      </c>
      <c r="E1071" s="63" t="s">
        <v>45</v>
      </c>
      <c r="F1071" s="77">
        <v>5</v>
      </c>
      <c r="G1071" s="46">
        <v>28000</v>
      </c>
      <c r="H1071" s="45">
        <v>0.8</v>
      </c>
      <c r="I1071" s="31">
        <v>1.1479999999999999</v>
      </c>
      <c r="J1071" s="223">
        <f t="shared" si="103"/>
        <v>129000</v>
      </c>
      <c r="K1071" s="39">
        <f t="shared" si="102"/>
        <v>129000</v>
      </c>
      <c r="L1071" s="261">
        <f t="shared" si="101"/>
        <v>0</v>
      </c>
      <c r="M1071" s="14"/>
    </row>
    <row r="1072" spans="1:13" ht="61.5" customHeight="1" x14ac:dyDescent="0.3">
      <c r="A1072" s="149">
        <v>71</v>
      </c>
      <c r="B1072" s="150" t="s">
        <v>1038</v>
      </c>
      <c r="C1072" s="461" t="s">
        <v>1388</v>
      </c>
      <c r="D1072" s="462"/>
      <c r="E1072" s="462"/>
      <c r="F1072" s="462"/>
      <c r="G1072" s="462"/>
      <c r="H1072" s="462"/>
      <c r="I1072" s="463"/>
      <c r="J1072" s="221">
        <f>SUM(J1073:J1089)</f>
        <v>1695109000</v>
      </c>
      <c r="K1072" s="39">
        <f t="shared" si="102"/>
        <v>0</v>
      </c>
      <c r="L1072" s="261">
        <f>J1072-K1072</f>
        <v>1695109000</v>
      </c>
      <c r="M1072" s="24"/>
    </row>
    <row r="1073" spans="1:256" s="290" customFormat="1" ht="70.5" customHeight="1" x14ac:dyDescent="0.3">
      <c r="A1073" s="211"/>
      <c r="B1073" s="17"/>
      <c r="C1073" s="25" t="s">
        <v>1389</v>
      </c>
      <c r="D1073" s="267" t="s">
        <v>112</v>
      </c>
      <c r="E1073" s="27" t="s">
        <v>23</v>
      </c>
      <c r="F1073" s="35">
        <v>145.5</v>
      </c>
      <c r="G1073" s="49">
        <v>8700000</v>
      </c>
      <c r="H1073" s="286">
        <v>0.495</v>
      </c>
      <c r="I1073" s="268">
        <v>1.4</v>
      </c>
      <c r="J1073" s="32">
        <f>ROUND(F1073*G1073*H1073*I1073,-3)</f>
        <v>877234000</v>
      </c>
      <c r="K1073" s="39">
        <f t="shared" si="102"/>
        <v>877234000</v>
      </c>
      <c r="L1073" s="262">
        <f t="shared" ref="L1073:L1074" si="104">J1073-K1073</f>
        <v>0</v>
      </c>
      <c r="M1073" s="14"/>
      <c r="N1073" s="14"/>
      <c r="O1073" s="14"/>
      <c r="P1073" s="14"/>
      <c r="Q1073" s="14"/>
      <c r="R1073" s="14"/>
      <c r="S1073" s="14"/>
      <c r="T1073" s="14"/>
      <c r="U1073" s="14"/>
      <c r="V1073" s="14"/>
      <c r="W1073" s="14"/>
      <c r="X1073" s="14"/>
      <c r="Y1073" s="14"/>
      <c r="Z1073" s="14"/>
      <c r="AA1073" s="14"/>
      <c r="AB1073" s="14"/>
      <c r="AC1073" s="14"/>
      <c r="AD1073" s="14"/>
      <c r="AE1073" s="14"/>
      <c r="AF1073" s="14"/>
      <c r="AG1073" s="14"/>
      <c r="AH1073" s="14"/>
      <c r="AI1073" s="14"/>
      <c r="AJ1073" s="14"/>
      <c r="AK1073" s="14"/>
      <c r="AL1073" s="14"/>
      <c r="AM1073" s="14"/>
      <c r="AN1073" s="14"/>
      <c r="AO1073" s="14"/>
      <c r="AP1073" s="14"/>
      <c r="AQ1073" s="14"/>
      <c r="AR1073" s="14"/>
      <c r="AS1073" s="14"/>
      <c r="AT1073" s="14"/>
      <c r="AU1073" s="14"/>
      <c r="AV1073" s="14"/>
      <c r="AW1073" s="14"/>
      <c r="AX1073" s="14"/>
      <c r="AY1073" s="14"/>
      <c r="AZ1073" s="14"/>
      <c r="BA1073" s="14"/>
      <c r="BB1073" s="14"/>
      <c r="BC1073" s="14"/>
      <c r="BD1073" s="14"/>
      <c r="BE1073" s="14"/>
      <c r="BF1073" s="14"/>
      <c r="BG1073" s="14"/>
      <c r="BH1073" s="14"/>
      <c r="BI1073" s="14"/>
      <c r="BJ1073" s="14"/>
      <c r="BK1073" s="14"/>
      <c r="BL1073" s="14"/>
      <c r="BM1073" s="14"/>
      <c r="BN1073" s="14"/>
      <c r="BO1073" s="14"/>
      <c r="BP1073" s="14"/>
      <c r="BQ1073" s="14"/>
      <c r="BR1073" s="14"/>
      <c r="BS1073" s="14"/>
      <c r="BT1073" s="14"/>
      <c r="BU1073" s="14"/>
      <c r="BV1073" s="14"/>
      <c r="BW1073" s="14"/>
      <c r="BX1073" s="14"/>
      <c r="BY1073" s="14"/>
      <c r="BZ1073" s="14"/>
      <c r="CA1073" s="14"/>
      <c r="CB1073" s="14"/>
      <c r="CC1073" s="14"/>
      <c r="CD1073" s="14"/>
      <c r="CE1073" s="14"/>
      <c r="CF1073" s="14"/>
      <c r="CG1073" s="14"/>
      <c r="CH1073" s="14"/>
      <c r="CI1073" s="14"/>
      <c r="CJ1073" s="14"/>
      <c r="CK1073" s="14"/>
      <c r="CL1073" s="14"/>
      <c r="CM1073" s="14"/>
      <c r="CN1073" s="14"/>
      <c r="CO1073" s="14"/>
      <c r="CP1073" s="14"/>
      <c r="CQ1073" s="14"/>
      <c r="CR1073" s="14"/>
      <c r="CS1073" s="14"/>
      <c r="CT1073" s="14"/>
      <c r="CU1073" s="14"/>
      <c r="CV1073" s="14"/>
      <c r="CW1073" s="14"/>
      <c r="CX1073" s="14"/>
      <c r="CY1073" s="14"/>
      <c r="CZ1073" s="14"/>
      <c r="DA1073" s="14"/>
      <c r="DB1073" s="14"/>
      <c r="DC1073" s="14"/>
      <c r="DD1073" s="14"/>
      <c r="DE1073" s="14"/>
      <c r="DF1073" s="14"/>
      <c r="DG1073" s="14"/>
      <c r="DH1073" s="14"/>
      <c r="DI1073" s="14"/>
      <c r="DJ1073" s="14"/>
      <c r="DK1073" s="14"/>
      <c r="DL1073" s="14"/>
      <c r="DM1073" s="14"/>
      <c r="DN1073" s="14"/>
      <c r="DO1073" s="14"/>
      <c r="DP1073" s="14"/>
      <c r="DQ1073" s="14"/>
      <c r="DR1073" s="14"/>
      <c r="DS1073" s="14"/>
      <c r="DT1073" s="14"/>
      <c r="DU1073" s="14"/>
      <c r="DV1073" s="14"/>
      <c r="DW1073" s="14"/>
      <c r="DX1073" s="14"/>
      <c r="DY1073" s="14"/>
      <c r="DZ1073" s="14"/>
      <c r="EA1073" s="14"/>
      <c r="EB1073" s="14"/>
      <c r="EC1073" s="14"/>
      <c r="ED1073" s="14"/>
      <c r="EE1073" s="14"/>
      <c r="EF1073" s="14"/>
      <c r="EG1073" s="14"/>
      <c r="EH1073" s="14"/>
      <c r="EI1073" s="14"/>
      <c r="EJ1073" s="14"/>
      <c r="EK1073" s="14"/>
      <c r="EL1073" s="14"/>
      <c r="EM1073" s="14"/>
      <c r="EN1073" s="14"/>
      <c r="EO1073" s="14"/>
      <c r="EP1073" s="14"/>
      <c r="EQ1073" s="14"/>
      <c r="ER1073" s="14"/>
      <c r="ES1073" s="14"/>
      <c r="ET1073" s="14"/>
      <c r="EU1073" s="14"/>
      <c r="EV1073" s="14"/>
      <c r="EW1073" s="14"/>
      <c r="EX1073" s="14"/>
      <c r="EY1073" s="14"/>
      <c r="EZ1073" s="14"/>
      <c r="FA1073" s="14"/>
      <c r="FB1073" s="14"/>
      <c r="FC1073" s="14"/>
      <c r="FD1073" s="14"/>
      <c r="FE1073" s="14"/>
      <c r="FF1073" s="14"/>
      <c r="FG1073" s="14"/>
      <c r="FH1073" s="14"/>
      <c r="FI1073" s="14"/>
      <c r="FJ1073" s="14"/>
      <c r="FK1073" s="14"/>
      <c r="FL1073" s="14"/>
      <c r="FM1073" s="14"/>
      <c r="FN1073" s="14"/>
      <c r="FO1073" s="14"/>
      <c r="FP1073" s="14"/>
      <c r="FQ1073" s="14"/>
      <c r="FR1073" s="14"/>
      <c r="FS1073" s="14"/>
      <c r="FT1073" s="14"/>
      <c r="FU1073" s="14"/>
      <c r="FV1073" s="14"/>
      <c r="FW1073" s="14"/>
      <c r="FX1073" s="14"/>
      <c r="FY1073" s="14"/>
      <c r="FZ1073" s="14"/>
      <c r="GA1073" s="14"/>
      <c r="GB1073" s="14"/>
      <c r="GC1073" s="14"/>
      <c r="GD1073" s="14"/>
      <c r="GE1073" s="14"/>
      <c r="GF1073" s="14"/>
      <c r="GG1073" s="14"/>
      <c r="GH1073" s="14"/>
      <c r="GI1073" s="14"/>
      <c r="GJ1073" s="14"/>
      <c r="GK1073" s="14"/>
      <c r="GL1073" s="14"/>
      <c r="GM1073" s="14"/>
      <c r="GN1073" s="14"/>
      <c r="GO1073" s="14"/>
      <c r="GP1073" s="14"/>
      <c r="GQ1073" s="14"/>
      <c r="GR1073" s="14"/>
      <c r="GS1073" s="14"/>
      <c r="GT1073" s="14"/>
      <c r="GU1073" s="14"/>
      <c r="GV1073" s="14"/>
      <c r="GW1073" s="14"/>
      <c r="GX1073" s="14"/>
      <c r="GY1073" s="14"/>
      <c r="GZ1073" s="14"/>
      <c r="HA1073" s="14"/>
      <c r="HB1073" s="14"/>
      <c r="HC1073" s="14"/>
      <c r="HD1073" s="14"/>
      <c r="HE1073" s="14"/>
      <c r="HF1073" s="14"/>
      <c r="HG1073" s="14"/>
      <c r="HH1073" s="14"/>
      <c r="HI1073" s="14"/>
      <c r="HJ1073" s="14"/>
      <c r="HK1073" s="14"/>
      <c r="HL1073" s="14"/>
      <c r="HM1073" s="14"/>
      <c r="HN1073" s="14"/>
      <c r="HO1073" s="14"/>
      <c r="HP1073" s="14"/>
      <c r="HQ1073" s="14"/>
      <c r="HR1073" s="14"/>
      <c r="HS1073" s="14"/>
      <c r="HT1073" s="14"/>
      <c r="HU1073" s="14"/>
      <c r="HV1073" s="14"/>
      <c r="HW1073" s="14"/>
      <c r="HX1073" s="14"/>
      <c r="HY1073" s="14"/>
      <c r="HZ1073" s="14"/>
      <c r="IA1073" s="14"/>
      <c r="IB1073" s="14"/>
      <c r="IC1073" s="14"/>
      <c r="ID1073" s="14"/>
      <c r="IE1073" s="14"/>
      <c r="IF1073" s="14"/>
      <c r="IG1073" s="14"/>
      <c r="IH1073" s="14"/>
      <c r="II1073" s="14"/>
      <c r="IJ1073" s="14"/>
      <c r="IK1073" s="14"/>
      <c r="IL1073" s="14"/>
      <c r="IM1073" s="14"/>
      <c r="IN1073" s="14"/>
      <c r="IO1073" s="14"/>
      <c r="IP1073" s="14"/>
      <c r="IQ1073" s="14"/>
      <c r="IR1073" s="14"/>
      <c r="IS1073" s="14"/>
      <c r="IT1073" s="14"/>
      <c r="IU1073" s="14"/>
      <c r="IV1073" s="14"/>
    </row>
    <row r="1074" spans="1:256" ht="90" customHeight="1" x14ac:dyDescent="0.25">
      <c r="A1074" s="67"/>
      <c r="B1074" s="68"/>
      <c r="C1074" s="25" t="s">
        <v>1062</v>
      </c>
      <c r="D1074" s="267" t="s">
        <v>112</v>
      </c>
      <c r="E1074" s="27" t="s">
        <v>23</v>
      </c>
      <c r="F1074" s="35">
        <v>36.799999999999997</v>
      </c>
      <c r="G1074" s="464" t="s">
        <v>1390</v>
      </c>
      <c r="H1074" s="464"/>
      <c r="I1074" s="465"/>
      <c r="J1074" s="227"/>
      <c r="K1074" s="39"/>
      <c r="L1074" s="261">
        <f t="shared" si="104"/>
        <v>0</v>
      </c>
      <c r="M1074" s="251"/>
    </row>
    <row r="1075" spans="1:256" ht="87" customHeight="1" x14ac:dyDescent="0.3">
      <c r="A1075" s="108"/>
      <c r="B1075" s="109"/>
      <c r="C1075" s="20" t="s">
        <v>265</v>
      </c>
      <c r="D1075" s="81" t="s">
        <v>63</v>
      </c>
      <c r="E1075" s="27" t="s">
        <v>23</v>
      </c>
      <c r="F1075" s="187">
        <f>6.55*8.3+3.85*8.2+3.95*8.8</f>
        <v>120.69500000000001</v>
      </c>
      <c r="G1075" s="100">
        <f>2975000</f>
        <v>2975000</v>
      </c>
      <c r="H1075" s="101">
        <v>1</v>
      </c>
      <c r="I1075" s="102">
        <v>1.1479999999999999</v>
      </c>
      <c r="J1075" s="222">
        <f t="shared" ref="J1075:J1089" si="105">ROUND(F1075*G1075*H1075*I1075,-3)</f>
        <v>412210000</v>
      </c>
      <c r="K1075" s="39">
        <f t="shared" si="102"/>
        <v>412210000</v>
      </c>
      <c r="L1075" s="261"/>
      <c r="M1075" s="24"/>
    </row>
    <row r="1076" spans="1:256" ht="72" customHeight="1" x14ac:dyDescent="0.3">
      <c r="A1076" s="93"/>
      <c r="B1076" s="94"/>
      <c r="C1076" s="70" t="s">
        <v>266</v>
      </c>
      <c r="D1076" s="81" t="s">
        <v>63</v>
      </c>
      <c r="E1076" s="27" t="s">
        <v>23</v>
      </c>
      <c r="F1076" s="99">
        <f>4.2*8.75+4.8*8.75</f>
        <v>78.75</v>
      </c>
      <c r="G1076" s="100">
        <f>2975000-99000</f>
        <v>2876000</v>
      </c>
      <c r="H1076" s="101">
        <v>1</v>
      </c>
      <c r="I1076" s="102">
        <v>1.1479999999999999</v>
      </c>
      <c r="J1076" s="222">
        <f t="shared" si="105"/>
        <v>260005000</v>
      </c>
      <c r="K1076" s="39">
        <f t="shared" si="102"/>
        <v>260005000</v>
      </c>
      <c r="L1076" s="261">
        <f t="shared" ref="L1076:L1139" si="106">J1076-K1076</f>
        <v>0</v>
      </c>
      <c r="M1076" s="24"/>
    </row>
    <row r="1077" spans="1:256" ht="61.5" customHeight="1" x14ac:dyDescent="0.3">
      <c r="A1077" s="69"/>
      <c r="B1077" s="8"/>
      <c r="C1077" s="82" t="s">
        <v>267</v>
      </c>
      <c r="D1077" s="42" t="s">
        <v>225</v>
      </c>
      <c r="E1077" s="96" t="s">
        <v>91</v>
      </c>
      <c r="F1077" s="72">
        <f>3.55*6.45+2.6*3.75</f>
        <v>32.647500000000001</v>
      </c>
      <c r="G1077" s="29">
        <v>527000</v>
      </c>
      <c r="H1077" s="50">
        <v>1</v>
      </c>
      <c r="I1077" s="151">
        <v>1.1479999999999999</v>
      </c>
      <c r="J1077" s="223">
        <f t="shared" si="105"/>
        <v>19752000</v>
      </c>
      <c r="K1077" s="39">
        <f t="shared" si="102"/>
        <v>19752000</v>
      </c>
      <c r="L1077" s="262">
        <f t="shared" si="106"/>
        <v>0</v>
      </c>
      <c r="M1077" s="14"/>
    </row>
    <row r="1078" spans="1:256" ht="61.5" customHeight="1" x14ac:dyDescent="0.3">
      <c r="A1078" s="69"/>
      <c r="B1078" s="8"/>
      <c r="C1078" s="82" t="s">
        <v>268</v>
      </c>
      <c r="D1078" s="42" t="s">
        <v>54</v>
      </c>
      <c r="E1078" s="27" t="s">
        <v>23</v>
      </c>
      <c r="F1078" s="72">
        <f>6.35*8.5+8.1*3.6</f>
        <v>83.134999999999991</v>
      </c>
      <c r="G1078" s="46">
        <v>213000</v>
      </c>
      <c r="H1078" s="37">
        <v>1</v>
      </c>
      <c r="I1078" s="79">
        <v>1.1479999999999999</v>
      </c>
      <c r="J1078" s="223">
        <f t="shared" si="105"/>
        <v>20329000</v>
      </c>
      <c r="K1078" s="39">
        <f t="shared" si="102"/>
        <v>20329000</v>
      </c>
      <c r="L1078" s="261">
        <f t="shared" si="106"/>
        <v>0</v>
      </c>
      <c r="M1078" s="14"/>
    </row>
    <row r="1079" spans="1:256" ht="61.5" customHeight="1" x14ac:dyDescent="0.3">
      <c r="A1079" s="69"/>
      <c r="B1079" s="8"/>
      <c r="C1079" s="82" t="s">
        <v>269</v>
      </c>
      <c r="D1079" s="34" t="s">
        <v>52</v>
      </c>
      <c r="E1079" s="71" t="s">
        <v>23</v>
      </c>
      <c r="F1079" s="72">
        <f>7.9*3.65</f>
        <v>28.835000000000001</v>
      </c>
      <c r="G1079" s="11" t="s">
        <v>53</v>
      </c>
      <c r="H1079" s="37">
        <v>1</v>
      </c>
      <c r="I1079" s="31">
        <v>1.1479999999999999</v>
      </c>
      <c r="J1079" s="223">
        <f t="shared" si="105"/>
        <v>7812000</v>
      </c>
      <c r="K1079" s="39">
        <f t="shared" si="102"/>
        <v>7812000</v>
      </c>
      <c r="L1079" s="261">
        <f t="shared" si="106"/>
        <v>0</v>
      </c>
      <c r="M1079" s="14"/>
    </row>
    <row r="1080" spans="1:256" ht="61.5" customHeight="1" x14ac:dyDescent="0.3">
      <c r="A1080" s="69"/>
      <c r="B1080" s="8"/>
      <c r="C1080" s="82" t="s">
        <v>856</v>
      </c>
      <c r="D1080" s="270" t="s">
        <v>51</v>
      </c>
      <c r="E1080" s="27" t="s">
        <v>23</v>
      </c>
      <c r="F1080" s="72">
        <f>2.7*23.45</f>
        <v>63.315000000000005</v>
      </c>
      <c r="G1080" s="29">
        <v>453000</v>
      </c>
      <c r="H1080" s="37">
        <v>1</v>
      </c>
      <c r="I1080" s="31">
        <v>1.1479999999999999</v>
      </c>
      <c r="J1080" s="223">
        <f t="shared" si="105"/>
        <v>32927000</v>
      </c>
      <c r="K1080" s="39">
        <f t="shared" si="102"/>
        <v>32927000</v>
      </c>
      <c r="L1080" s="261">
        <f t="shared" si="106"/>
        <v>0</v>
      </c>
      <c r="M1080" s="14"/>
    </row>
    <row r="1081" spans="1:256" ht="61.5" customHeight="1" x14ac:dyDescent="0.3">
      <c r="A1081" s="69"/>
      <c r="B1081" s="8"/>
      <c r="C1081" s="82" t="s">
        <v>270</v>
      </c>
      <c r="D1081" s="34" t="s">
        <v>31</v>
      </c>
      <c r="E1081" s="27" t="s">
        <v>23</v>
      </c>
      <c r="F1081" s="75">
        <f>7*6.4</f>
        <v>44.800000000000004</v>
      </c>
      <c r="G1081" s="29">
        <v>339000</v>
      </c>
      <c r="H1081" s="37">
        <v>1</v>
      </c>
      <c r="I1081" s="31">
        <v>1.1479999999999999</v>
      </c>
      <c r="J1081" s="223">
        <f t="shared" si="105"/>
        <v>17435000</v>
      </c>
      <c r="K1081" s="39">
        <f t="shared" si="102"/>
        <v>17435000</v>
      </c>
      <c r="L1081" s="261">
        <f t="shared" si="106"/>
        <v>0</v>
      </c>
      <c r="M1081" s="14"/>
    </row>
    <row r="1082" spans="1:256" ht="61.5" customHeight="1" x14ac:dyDescent="0.3">
      <c r="A1082" s="69"/>
      <c r="B1082" s="8"/>
      <c r="C1082" s="82" t="s">
        <v>271</v>
      </c>
      <c r="D1082" s="42" t="s">
        <v>32</v>
      </c>
      <c r="E1082" s="27" t="s">
        <v>23</v>
      </c>
      <c r="F1082" s="72">
        <f>7*17</f>
        <v>119</v>
      </c>
      <c r="G1082" s="29">
        <v>215000</v>
      </c>
      <c r="H1082" s="43">
        <v>1</v>
      </c>
      <c r="I1082" s="31">
        <v>1.1479999999999999</v>
      </c>
      <c r="J1082" s="223">
        <f t="shared" si="105"/>
        <v>29372000</v>
      </c>
      <c r="K1082" s="39">
        <f t="shared" si="102"/>
        <v>29372000</v>
      </c>
      <c r="L1082" s="261">
        <f t="shared" si="106"/>
        <v>0</v>
      </c>
      <c r="M1082" s="14"/>
    </row>
    <row r="1083" spans="1:256" ht="61.5" customHeight="1" x14ac:dyDescent="0.3">
      <c r="A1083" s="69"/>
      <c r="B1083" s="8"/>
      <c r="C1083" s="82" t="s">
        <v>272</v>
      </c>
      <c r="D1083" s="270" t="s">
        <v>55</v>
      </c>
      <c r="E1083" s="27" t="s">
        <v>23</v>
      </c>
      <c r="F1083" s="72">
        <f>0.6*0.8+0.85*1.2</f>
        <v>1.5</v>
      </c>
      <c r="G1083" s="29">
        <v>905000</v>
      </c>
      <c r="H1083" s="45">
        <v>0.8</v>
      </c>
      <c r="I1083" s="79">
        <v>1.1479999999999999</v>
      </c>
      <c r="J1083" s="223">
        <f t="shared" si="105"/>
        <v>1247000</v>
      </c>
      <c r="K1083" s="39">
        <f t="shared" si="102"/>
        <v>1247000</v>
      </c>
      <c r="L1083" s="261">
        <f t="shared" si="106"/>
        <v>0</v>
      </c>
      <c r="M1083" s="14"/>
    </row>
    <row r="1084" spans="1:256" ht="61.5" customHeight="1" x14ac:dyDescent="0.3">
      <c r="A1084" s="69"/>
      <c r="B1084" s="8"/>
      <c r="C1084" s="82" t="s">
        <v>273</v>
      </c>
      <c r="D1084" s="34" t="s">
        <v>52</v>
      </c>
      <c r="E1084" s="27" t="s">
        <v>23</v>
      </c>
      <c r="F1084" s="72">
        <f>6*1.2+(4*1.2)*2+1*3</f>
        <v>19.799999999999997</v>
      </c>
      <c r="G1084" s="11" t="s">
        <v>53</v>
      </c>
      <c r="H1084" s="37">
        <v>1</v>
      </c>
      <c r="I1084" s="79">
        <v>1.1479999999999999</v>
      </c>
      <c r="J1084" s="223">
        <f t="shared" si="105"/>
        <v>5364000</v>
      </c>
      <c r="K1084" s="39">
        <f t="shared" si="102"/>
        <v>5364000</v>
      </c>
      <c r="L1084" s="261">
        <f t="shared" si="106"/>
        <v>0</v>
      </c>
      <c r="M1084" s="14"/>
    </row>
    <row r="1085" spans="1:256" ht="61.5" customHeight="1" x14ac:dyDescent="0.3">
      <c r="A1085" s="69"/>
      <c r="B1085" s="8"/>
      <c r="C1085" s="82" t="s">
        <v>274</v>
      </c>
      <c r="D1085" s="42" t="s">
        <v>225</v>
      </c>
      <c r="E1085" s="96" t="s">
        <v>91</v>
      </c>
      <c r="F1085" s="72">
        <f>5.75*0.7</f>
        <v>4.0249999999999995</v>
      </c>
      <c r="G1085" s="29">
        <v>527000</v>
      </c>
      <c r="H1085" s="50">
        <v>1</v>
      </c>
      <c r="I1085" s="151">
        <v>1.1479999999999999</v>
      </c>
      <c r="J1085" s="223">
        <f t="shared" si="105"/>
        <v>2435000</v>
      </c>
      <c r="K1085" s="39">
        <f t="shared" si="102"/>
        <v>2435000</v>
      </c>
      <c r="L1085" s="261">
        <f t="shared" si="106"/>
        <v>0</v>
      </c>
      <c r="M1085" s="14"/>
    </row>
    <row r="1086" spans="1:256" ht="61.5" customHeight="1" x14ac:dyDescent="0.3">
      <c r="A1086" s="69"/>
      <c r="B1086" s="8"/>
      <c r="C1086" s="82" t="s">
        <v>275</v>
      </c>
      <c r="D1086" s="34" t="s">
        <v>52</v>
      </c>
      <c r="E1086" s="27" t="s">
        <v>23</v>
      </c>
      <c r="F1086" s="72">
        <f>4.3*0.8+4*0.6+(4*1.2)*3</f>
        <v>20.239999999999998</v>
      </c>
      <c r="G1086" s="11" t="s">
        <v>53</v>
      </c>
      <c r="H1086" s="37">
        <v>1</v>
      </c>
      <c r="I1086" s="79">
        <v>1.1479999999999999</v>
      </c>
      <c r="J1086" s="223">
        <f t="shared" si="105"/>
        <v>5484000</v>
      </c>
      <c r="K1086" s="39">
        <f t="shared" si="102"/>
        <v>5484000</v>
      </c>
      <c r="L1086" s="261">
        <f t="shared" si="106"/>
        <v>0</v>
      </c>
      <c r="M1086" s="14"/>
    </row>
    <row r="1087" spans="1:256" ht="61.5" customHeight="1" x14ac:dyDescent="0.3">
      <c r="A1087" s="69"/>
      <c r="B1087" s="8"/>
      <c r="C1087" s="82" t="s">
        <v>276</v>
      </c>
      <c r="D1087" s="80" t="s">
        <v>58</v>
      </c>
      <c r="E1087" s="27" t="s">
        <v>35</v>
      </c>
      <c r="F1087" s="98">
        <v>3</v>
      </c>
      <c r="G1087" s="29">
        <v>1065100</v>
      </c>
      <c r="H1087" s="50">
        <v>1</v>
      </c>
      <c r="I1087" s="51">
        <v>1</v>
      </c>
      <c r="J1087" s="223">
        <f t="shared" si="105"/>
        <v>3195000</v>
      </c>
      <c r="K1087" s="39">
        <f t="shared" si="102"/>
        <v>3195000</v>
      </c>
      <c r="L1087" s="261">
        <f t="shared" si="106"/>
        <v>0</v>
      </c>
      <c r="M1087" s="14"/>
    </row>
    <row r="1088" spans="1:256" ht="61.5" customHeight="1" x14ac:dyDescent="0.3">
      <c r="A1088" s="69"/>
      <c r="B1088" s="8"/>
      <c r="C1088" s="83" t="s">
        <v>43</v>
      </c>
      <c r="D1088" s="193" t="s">
        <v>874</v>
      </c>
      <c r="E1088" s="212" t="s">
        <v>929</v>
      </c>
      <c r="F1088" s="344">
        <v>6</v>
      </c>
      <c r="G1088" s="46">
        <v>28000</v>
      </c>
      <c r="H1088" s="45">
        <v>0.8</v>
      </c>
      <c r="I1088" s="31">
        <v>1.1479999999999999</v>
      </c>
      <c r="J1088" s="223">
        <f t="shared" si="105"/>
        <v>154000</v>
      </c>
      <c r="K1088" s="39">
        <f t="shared" si="102"/>
        <v>154000</v>
      </c>
      <c r="L1088" s="261">
        <f t="shared" si="106"/>
        <v>0</v>
      </c>
      <c r="M1088" s="14"/>
    </row>
    <row r="1089" spans="1:13" ht="61.5" customHeight="1" x14ac:dyDescent="0.3">
      <c r="A1089" s="69"/>
      <c r="B1089" s="8"/>
      <c r="C1089" s="82" t="s">
        <v>46</v>
      </c>
      <c r="D1089" s="271" t="s">
        <v>47</v>
      </c>
      <c r="E1089" s="63" t="s">
        <v>45</v>
      </c>
      <c r="F1089" s="77">
        <v>6</v>
      </c>
      <c r="G1089" s="46">
        <v>28000</v>
      </c>
      <c r="H1089" s="45">
        <v>0.8</v>
      </c>
      <c r="I1089" s="31">
        <v>1.1479999999999999</v>
      </c>
      <c r="J1089" s="223">
        <f t="shared" si="105"/>
        <v>154000</v>
      </c>
      <c r="K1089" s="39">
        <f t="shared" si="102"/>
        <v>154000</v>
      </c>
      <c r="L1089" s="261">
        <f t="shared" si="106"/>
        <v>0</v>
      </c>
      <c r="M1089" s="14"/>
    </row>
    <row r="1090" spans="1:13" x14ac:dyDescent="0.25">
      <c r="A1090" s="15"/>
      <c r="B1090" s="15"/>
      <c r="C1090" s="429" t="s">
        <v>678</v>
      </c>
      <c r="D1090" s="430"/>
      <c r="E1090" s="430"/>
      <c r="F1090" s="430"/>
      <c r="G1090" s="430"/>
      <c r="H1090" s="430"/>
      <c r="I1090" s="492"/>
      <c r="J1090" s="220"/>
      <c r="K1090" s="39">
        <f t="shared" si="102"/>
        <v>0</v>
      </c>
      <c r="L1090" s="261">
        <f t="shared" si="106"/>
        <v>0</v>
      </c>
    </row>
    <row r="1091" spans="1:13" ht="46.5" customHeight="1" x14ac:dyDescent="0.25">
      <c r="A1091" s="211">
        <v>72</v>
      </c>
      <c r="B1091" s="17" t="s">
        <v>1263</v>
      </c>
      <c r="C1091" s="433" t="s">
        <v>1264</v>
      </c>
      <c r="D1091" s="434"/>
      <c r="E1091" s="434"/>
      <c r="F1091" s="434"/>
      <c r="G1091" s="434"/>
      <c r="H1091" s="434"/>
      <c r="I1091" s="435"/>
      <c r="J1091" s="221">
        <f>SUM(J1092:J1110)</f>
        <v>819489000</v>
      </c>
      <c r="K1091" s="39">
        <f t="shared" si="102"/>
        <v>0</v>
      </c>
      <c r="L1091" s="261">
        <f t="shared" si="106"/>
        <v>819489000</v>
      </c>
      <c r="M1091" s="261">
        <f>J1091-K1091</f>
        <v>819489000</v>
      </c>
    </row>
    <row r="1092" spans="1:13" ht="90" customHeight="1" x14ac:dyDescent="0.25">
      <c r="A1092" s="18"/>
      <c r="B1092" s="19"/>
      <c r="C1092" s="20" t="s">
        <v>1129</v>
      </c>
      <c r="D1092" s="21"/>
      <c r="E1092" s="22" t="s">
        <v>23</v>
      </c>
      <c r="F1092" s="203">
        <v>53.7</v>
      </c>
      <c r="G1092" s="296">
        <v>13800000</v>
      </c>
      <c r="H1092" s="299">
        <v>0.59499999999999997</v>
      </c>
      <c r="I1092" s="300">
        <v>1.2</v>
      </c>
      <c r="J1092" s="223">
        <f t="shared" ref="J1092:J1105" si="107">ROUND(F1092*G1092*H1092*I1092,-3)</f>
        <v>529117000</v>
      </c>
      <c r="K1092" s="39">
        <f t="shared" si="102"/>
        <v>529117000</v>
      </c>
      <c r="L1092" s="261">
        <f t="shared" si="106"/>
        <v>0</v>
      </c>
      <c r="M1092" s="261">
        <f t="shared" ref="M1092:M1110" si="108">J1092-K1092</f>
        <v>0</v>
      </c>
    </row>
    <row r="1093" spans="1:13" ht="90" customHeight="1" x14ac:dyDescent="0.25">
      <c r="A1093" s="18"/>
      <c r="B1093" s="19"/>
      <c r="C1093" s="20" t="s">
        <v>1130</v>
      </c>
      <c r="D1093" s="21"/>
      <c r="E1093" s="22" t="s">
        <v>23</v>
      </c>
      <c r="F1093" s="203">
        <v>6.1</v>
      </c>
      <c r="G1093" s="493" t="s">
        <v>1282</v>
      </c>
      <c r="H1093" s="494"/>
      <c r="I1093" s="494"/>
      <c r="J1093" s="223">
        <v>0</v>
      </c>
      <c r="K1093" s="39"/>
      <c r="L1093" s="261">
        <f t="shared" si="106"/>
        <v>0</v>
      </c>
      <c r="M1093" s="261"/>
    </row>
    <row r="1094" spans="1:13" ht="96" customHeight="1" x14ac:dyDescent="0.25">
      <c r="A1094" s="211"/>
      <c r="B1094" s="17"/>
      <c r="C1094" s="25" t="s">
        <v>1266</v>
      </c>
      <c r="D1094" s="9" t="s">
        <v>148</v>
      </c>
      <c r="E1094" s="27" t="s">
        <v>23</v>
      </c>
      <c r="F1094" s="33">
        <f>5.1*9.1</f>
        <v>46.41</v>
      </c>
      <c r="G1094" s="29">
        <v>3564000</v>
      </c>
      <c r="H1094" s="37">
        <v>1</v>
      </c>
      <c r="I1094" s="31">
        <v>1.1479999999999999</v>
      </c>
      <c r="J1094" s="223">
        <f t="shared" si="107"/>
        <v>189885000</v>
      </c>
      <c r="K1094" s="39">
        <f t="shared" si="102"/>
        <v>189885000</v>
      </c>
      <c r="L1094" s="261">
        <f t="shared" si="106"/>
        <v>0</v>
      </c>
      <c r="M1094" s="261">
        <f t="shared" si="108"/>
        <v>0</v>
      </c>
    </row>
    <row r="1095" spans="1:13" ht="45" x14ac:dyDescent="0.25">
      <c r="A1095" s="211"/>
      <c r="B1095" s="17"/>
      <c r="C1095" s="25" t="s">
        <v>1267</v>
      </c>
      <c r="D1095" s="42" t="s">
        <v>225</v>
      </c>
      <c r="E1095" s="96" t="s">
        <v>91</v>
      </c>
      <c r="F1095" s="33">
        <f>5.1*8.4</f>
        <v>42.839999999999996</v>
      </c>
      <c r="G1095" s="29">
        <v>527000</v>
      </c>
      <c r="H1095" s="50">
        <v>1</v>
      </c>
      <c r="I1095" s="79">
        <v>1.1479999999999999</v>
      </c>
      <c r="J1095" s="223">
        <f t="shared" si="107"/>
        <v>25918000</v>
      </c>
      <c r="K1095" s="39">
        <f t="shared" ref="K1095:K1158" si="109">ROUND(F1095*G1095*H1095*I1095,-3)</f>
        <v>25918000</v>
      </c>
      <c r="L1095" s="261">
        <f t="shared" si="106"/>
        <v>0</v>
      </c>
      <c r="M1095" s="261">
        <f t="shared" si="108"/>
        <v>0</v>
      </c>
    </row>
    <row r="1096" spans="1:13" ht="45" x14ac:dyDescent="0.25">
      <c r="A1096" s="211"/>
      <c r="B1096" s="17"/>
      <c r="C1096" s="25" t="s">
        <v>1268</v>
      </c>
      <c r="D1096" s="34" t="s">
        <v>68</v>
      </c>
      <c r="E1096" s="168" t="s">
        <v>23</v>
      </c>
      <c r="F1096" s="33">
        <f>6.7*4.8</f>
        <v>32.159999999999997</v>
      </c>
      <c r="G1096" s="46">
        <v>213000</v>
      </c>
      <c r="H1096" s="37">
        <v>1</v>
      </c>
      <c r="I1096" s="31">
        <v>1.1479999999999999</v>
      </c>
      <c r="J1096" s="223">
        <f t="shared" si="107"/>
        <v>7864000</v>
      </c>
      <c r="K1096" s="39">
        <f t="shared" si="109"/>
        <v>7864000</v>
      </c>
      <c r="L1096" s="261">
        <f t="shared" si="106"/>
        <v>0</v>
      </c>
      <c r="M1096" s="261">
        <f t="shared" si="108"/>
        <v>0</v>
      </c>
    </row>
    <row r="1097" spans="1:13" ht="45" x14ac:dyDescent="0.25">
      <c r="A1097" s="211"/>
      <c r="B1097" s="17"/>
      <c r="C1097" s="25" t="s">
        <v>1269</v>
      </c>
      <c r="D1097" s="34" t="s">
        <v>66</v>
      </c>
      <c r="E1097" s="27" t="s">
        <v>23</v>
      </c>
      <c r="F1097" s="33">
        <f>11.8*0.9</f>
        <v>10.620000000000001</v>
      </c>
      <c r="G1097" s="29">
        <v>339000</v>
      </c>
      <c r="H1097" s="38">
        <v>1</v>
      </c>
      <c r="I1097" s="31">
        <v>1.1479999999999999</v>
      </c>
      <c r="J1097" s="223">
        <f t="shared" si="107"/>
        <v>4133000</v>
      </c>
      <c r="K1097" s="39">
        <f t="shared" si="109"/>
        <v>4133000</v>
      </c>
      <c r="L1097" s="261">
        <f t="shared" si="106"/>
        <v>0</v>
      </c>
      <c r="M1097" s="261">
        <f t="shared" si="108"/>
        <v>0</v>
      </c>
    </row>
    <row r="1098" spans="1:13" ht="45" x14ac:dyDescent="0.25">
      <c r="A1098" s="211"/>
      <c r="B1098" s="17"/>
      <c r="C1098" s="25" t="s">
        <v>1270</v>
      </c>
      <c r="D1098" s="34" t="s">
        <v>66</v>
      </c>
      <c r="E1098" s="27" t="s">
        <v>23</v>
      </c>
      <c r="F1098" s="33">
        <f>(1.6*0.65)*3+(1.3*0.65)*3+3.6*1</f>
        <v>9.2550000000000008</v>
      </c>
      <c r="G1098" s="29">
        <v>339000</v>
      </c>
      <c r="H1098" s="38">
        <v>1</v>
      </c>
      <c r="I1098" s="31">
        <v>1.1479999999999999</v>
      </c>
      <c r="J1098" s="223">
        <f t="shared" si="107"/>
        <v>3602000</v>
      </c>
      <c r="K1098" s="39">
        <f t="shared" si="109"/>
        <v>3602000</v>
      </c>
      <c r="L1098" s="261">
        <f t="shared" si="106"/>
        <v>0</v>
      </c>
      <c r="M1098" s="261">
        <f t="shared" si="108"/>
        <v>0</v>
      </c>
    </row>
    <row r="1099" spans="1:13" ht="45" x14ac:dyDescent="0.25">
      <c r="A1099" s="211"/>
      <c r="B1099" s="17"/>
      <c r="C1099" s="25" t="s">
        <v>1271</v>
      </c>
      <c r="D1099" s="26" t="s">
        <v>24</v>
      </c>
      <c r="E1099" s="84" t="s">
        <v>25</v>
      </c>
      <c r="F1099" s="33">
        <f>(5.1*0.8*0.15)*2</f>
        <v>1.224</v>
      </c>
      <c r="G1099" s="86">
        <v>2828000</v>
      </c>
      <c r="H1099" s="87">
        <v>1</v>
      </c>
      <c r="I1099" s="88">
        <v>1.1479999999999999</v>
      </c>
      <c r="J1099" s="223">
        <f t="shared" si="107"/>
        <v>3974000</v>
      </c>
      <c r="K1099" s="39">
        <f t="shared" si="109"/>
        <v>3974000</v>
      </c>
      <c r="L1099" s="261">
        <f t="shared" si="106"/>
        <v>0</v>
      </c>
      <c r="M1099" s="261">
        <f t="shared" si="108"/>
        <v>0</v>
      </c>
    </row>
    <row r="1100" spans="1:13" ht="45" x14ac:dyDescent="0.25">
      <c r="A1100" s="211"/>
      <c r="B1100" s="17"/>
      <c r="C1100" s="25" t="s">
        <v>1272</v>
      </c>
      <c r="D1100" s="34" t="s">
        <v>562</v>
      </c>
      <c r="E1100" s="27" t="s">
        <v>23</v>
      </c>
      <c r="F1100" s="33">
        <f>8.4*5.2</f>
        <v>43.680000000000007</v>
      </c>
      <c r="G1100" s="29">
        <v>577000</v>
      </c>
      <c r="H1100" s="37">
        <v>1</v>
      </c>
      <c r="I1100" s="31">
        <v>1.1479999999999999</v>
      </c>
      <c r="J1100" s="223">
        <f t="shared" si="107"/>
        <v>28933000</v>
      </c>
      <c r="K1100" s="39">
        <f t="shared" si="109"/>
        <v>28933000</v>
      </c>
      <c r="L1100" s="261">
        <f t="shared" si="106"/>
        <v>0</v>
      </c>
      <c r="M1100" s="261">
        <f t="shared" si="108"/>
        <v>0</v>
      </c>
    </row>
    <row r="1101" spans="1:13" ht="45" x14ac:dyDescent="0.25">
      <c r="A1101" s="211"/>
      <c r="B1101" s="17"/>
      <c r="C1101" s="25" t="s">
        <v>1273</v>
      </c>
      <c r="D1101" s="34" t="s">
        <v>101</v>
      </c>
      <c r="E1101" s="71" t="s">
        <v>23</v>
      </c>
      <c r="F1101" s="33">
        <f>5.1*1</f>
        <v>5.0999999999999996</v>
      </c>
      <c r="G1101" s="29">
        <v>339000</v>
      </c>
      <c r="H1101" s="37">
        <v>1</v>
      </c>
      <c r="I1101" s="31">
        <v>1.1479999999999999</v>
      </c>
      <c r="J1101" s="223">
        <f t="shared" si="107"/>
        <v>1985000</v>
      </c>
      <c r="K1101" s="39">
        <f t="shared" si="109"/>
        <v>1985000</v>
      </c>
      <c r="L1101" s="261">
        <f t="shared" si="106"/>
        <v>0</v>
      </c>
      <c r="M1101" s="261">
        <f t="shared" si="108"/>
        <v>0</v>
      </c>
    </row>
    <row r="1102" spans="1:13" ht="45" x14ac:dyDescent="0.25">
      <c r="A1102" s="211"/>
      <c r="B1102" s="17"/>
      <c r="C1102" s="25" t="s">
        <v>1274</v>
      </c>
      <c r="D1102" s="42" t="s">
        <v>32</v>
      </c>
      <c r="E1102" s="27" t="s">
        <v>23</v>
      </c>
      <c r="F1102" s="33">
        <f>8.4*5.2</f>
        <v>43.680000000000007</v>
      </c>
      <c r="G1102" s="29">
        <v>215000</v>
      </c>
      <c r="H1102" s="30">
        <v>1</v>
      </c>
      <c r="I1102" s="31">
        <v>1.1479999999999999</v>
      </c>
      <c r="J1102" s="223">
        <f t="shared" si="107"/>
        <v>10781000</v>
      </c>
      <c r="K1102" s="39">
        <f t="shared" si="109"/>
        <v>10781000</v>
      </c>
      <c r="L1102" s="261">
        <f t="shared" si="106"/>
        <v>0</v>
      </c>
      <c r="M1102" s="261">
        <f t="shared" si="108"/>
        <v>0</v>
      </c>
    </row>
    <row r="1103" spans="1:13" ht="45" x14ac:dyDescent="0.25">
      <c r="A1103" s="211"/>
      <c r="B1103" s="17"/>
      <c r="C1103" s="25" t="s">
        <v>1275</v>
      </c>
      <c r="D1103" s="42" t="s">
        <v>32</v>
      </c>
      <c r="E1103" s="27" t="s">
        <v>23</v>
      </c>
      <c r="F1103" s="33">
        <f>8.4*3.4</f>
        <v>28.56</v>
      </c>
      <c r="G1103" s="29">
        <v>215000</v>
      </c>
      <c r="H1103" s="30">
        <v>1</v>
      </c>
      <c r="I1103" s="31">
        <v>1.1479999999999999</v>
      </c>
      <c r="J1103" s="223">
        <f t="shared" si="107"/>
        <v>7049000</v>
      </c>
      <c r="K1103" s="39">
        <f t="shared" si="109"/>
        <v>7049000</v>
      </c>
      <c r="L1103" s="261">
        <f t="shared" si="106"/>
        <v>0</v>
      </c>
      <c r="M1103" s="261">
        <f t="shared" si="108"/>
        <v>0</v>
      </c>
    </row>
    <row r="1104" spans="1:13" ht="45" x14ac:dyDescent="0.25">
      <c r="A1104" s="211"/>
      <c r="B1104" s="17"/>
      <c r="C1104" s="25" t="s">
        <v>1276</v>
      </c>
      <c r="D1104" s="26" t="s">
        <v>95</v>
      </c>
      <c r="E1104" s="71" t="s">
        <v>25</v>
      </c>
      <c r="F1104" s="33">
        <f>(1.4*0.3*0.15)*8</f>
        <v>0.504</v>
      </c>
      <c r="G1104" s="11">
        <v>1000000</v>
      </c>
      <c r="H1104" s="45">
        <v>1</v>
      </c>
      <c r="I1104" s="31">
        <v>1.1479999999999999</v>
      </c>
      <c r="J1104" s="223">
        <f t="shared" si="107"/>
        <v>579000</v>
      </c>
      <c r="K1104" s="39">
        <f t="shared" si="109"/>
        <v>579000</v>
      </c>
      <c r="L1104" s="261">
        <f t="shared" si="106"/>
        <v>0</v>
      </c>
      <c r="M1104" s="261">
        <f t="shared" si="108"/>
        <v>0</v>
      </c>
    </row>
    <row r="1105" spans="1:13" ht="45" x14ac:dyDescent="0.25">
      <c r="A1105" s="211"/>
      <c r="B1105" s="17"/>
      <c r="C1105" s="25" t="s">
        <v>1277</v>
      </c>
      <c r="D1105" s="34" t="s">
        <v>52</v>
      </c>
      <c r="E1105" s="96" t="s">
        <v>91</v>
      </c>
      <c r="F1105" s="33">
        <f>5.1*1.5</f>
        <v>7.6499999999999995</v>
      </c>
      <c r="G1105" s="11" t="s">
        <v>53</v>
      </c>
      <c r="H1105" s="37">
        <v>1</v>
      </c>
      <c r="I1105" s="31">
        <v>1.1479999999999999</v>
      </c>
      <c r="J1105" s="223">
        <f t="shared" si="107"/>
        <v>2073000</v>
      </c>
      <c r="K1105" s="39">
        <f t="shared" si="109"/>
        <v>2073000</v>
      </c>
      <c r="L1105" s="261">
        <f t="shared" si="106"/>
        <v>0</v>
      </c>
      <c r="M1105" s="261">
        <f t="shared" si="108"/>
        <v>0</v>
      </c>
    </row>
    <row r="1106" spans="1:13" ht="45" x14ac:dyDescent="0.25">
      <c r="A1106" s="211"/>
      <c r="B1106" s="17"/>
      <c r="C1106" s="25" t="s">
        <v>1278</v>
      </c>
      <c r="D1106" s="34" t="s">
        <v>68</v>
      </c>
      <c r="E1106" s="96" t="s">
        <v>91</v>
      </c>
      <c r="F1106" s="33">
        <f>(3.6*0.6)*2+1.4*0.8+2.5*1.2</f>
        <v>8.4400000000000013</v>
      </c>
      <c r="G1106" s="46">
        <v>213000</v>
      </c>
      <c r="H1106" s="37">
        <v>1</v>
      </c>
      <c r="I1106" s="79">
        <v>1.1479999999999999</v>
      </c>
      <c r="J1106" s="223">
        <f>ROUND(F1106*G1106*H1106*I1106,-3)</f>
        <v>2064000</v>
      </c>
      <c r="K1106" s="39">
        <f t="shared" si="109"/>
        <v>2064000</v>
      </c>
      <c r="L1106" s="261">
        <f t="shared" si="106"/>
        <v>0</v>
      </c>
      <c r="M1106" s="261">
        <f t="shared" si="108"/>
        <v>0</v>
      </c>
    </row>
    <row r="1107" spans="1:13" ht="45" x14ac:dyDescent="0.25">
      <c r="A1107" s="211"/>
      <c r="B1107" s="17"/>
      <c r="C1107" s="25" t="s">
        <v>1279</v>
      </c>
      <c r="D1107" s="34" t="s">
        <v>38</v>
      </c>
      <c r="E1107" s="27" t="s">
        <v>39</v>
      </c>
      <c r="F1107" s="33">
        <v>1</v>
      </c>
      <c r="G1107" s="55">
        <v>1018000</v>
      </c>
      <c r="H1107" s="56">
        <v>1</v>
      </c>
      <c r="I1107" s="57">
        <v>1.1479999999999999</v>
      </c>
      <c r="J1107" s="226">
        <f>ROUND(F1107*G1107*H1107*I1107,-3)</f>
        <v>1169000</v>
      </c>
      <c r="K1107" s="39">
        <f t="shared" si="109"/>
        <v>1169000</v>
      </c>
      <c r="L1107" s="261">
        <f t="shared" si="106"/>
        <v>0</v>
      </c>
      <c r="M1107" s="261">
        <f t="shared" si="108"/>
        <v>0</v>
      </c>
    </row>
    <row r="1108" spans="1:13" ht="30" x14ac:dyDescent="0.25">
      <c r="A1108" s="67"/>
      <c r="B1108" s="68"/>
      <c r="C1108" s="25" t="s">
        <v>1280</v>
      </c>
      <c r="D1108" s="58" t="s">
        <v>1281</v>
      </c>
      <c r="E1108" s="59" t="s">
        <v>35</v>
      </c>
      <c r="F1108" s="33">
        <v>1</v>
      </c>
      <c r="G1108" s="11">
        <v>40910</v>
      </c>
      <c r="H1108" s="60">
        <v>1</v>
      </c>
      <c r="I1108" s="61">
        <v>1</v>
      </c>
      <c r="J1108" s="223">
        <f>ROUND(F1108*G1108*H1108*I1108,-3)</f>
        <v>41000</v>
      </c>
      <c r="K1108" s="39">
        <f t="shared" si="109"/>
        <v>41000</v>
      </c>
      <c r="L1108" s="261">
        <f t="shared" si="106"/>
        <v>0</v>
      </c>
      <c r="M1108" s="261">
        <f t="shared" si="108"/>
        <v>0</v>
      </c>
    </row>
    <row r="1109" spans="1:13" ht="45" x14ac:dyDescent="0.25">
      <c r="A1109" s="211"/>
      <c r="B1109" s="17"/>
      <c r="C1109" s="25" t="s">
        <v>72</v>
      </c>
      <c r="D1109" s="62" t="s">
        <v>44</v>
      </c>
      <c r="E1109" s="63" t="s">
        <v>45</v>
      </c>
      <c r="F1109" s="33">
        <v>5</v>
      </c>
      <c r="G1109" s="65">
        <v>28000</v>
      </c>
      <c r="H1109" s="66">
        <v>1</v>
      </c>
      <c r="I1109" s="31">
        <v>1.1479999999999999</v>
      </c>
      <c r="J1109" s="223">
        <f>ROUND(F1109*G1109*H1109*I1109,-3)</f>
        <v>161000</v>
      </c>
      <c r="K1109" s="39">
        <f t="shared" si="109"/>
        <v>161000</v>
      </c>
      <c r="L1109" s="261">
        <f t="shared" si="106"/>
        <v>0</v>
      </c>
      <c r="M1109" s="261">
        <f t="shared" si="108"/>
        <v>0</v>
      </c>
    </row>
    <row r="1110" spans="1:13" ht="45" x14ac:dyDescent="0.25">
      <c r="A1110" s="211"/>
      <c r="B1110" s="17"/>
      <c r="C1110" s="25" t="s">
        <v>82</v>
      </c>
      <c r="D1110" s="42" t="s">
        <v>47</v>
      </c>
      <c r="E1110" s="63" t="s">
        <v>45</v>
      </c>
      <c r="F1110" s="33">
        <v>5</v>
      </c>
      <c r="G1110" s="46">
        <v>28000</v>
      </c>
      <c r="H1110" s="66">
        <v>1</v>
      </c>
      <c r="I1110" s="31">
        <v>1.1479999999999999</v>
      </c>
      <c r="J1110" s="223">
        <f>ROUND(F1110*G1110*H1110*I1110,-3)</f>
        <v>161000</v>
      </c>
      <c r="K1110" s="39">
        <f t="shared" si="109"/>
        <v>161000</v>
      </c>
      <c r="L1110" s="261">
        <f t="shared" si="106"/>
        <v>0</v>
      </c>
      <c r="M1110" s="261">
        <f t="shared" si="108"/>
        <v>0</v>
      </c>
    </row>
    <row r="1111" spans="1:13" ht="75" customHeight="1" x14ac:dyDescent="0.25">
      <c r="A1111" s="67">
        <v>73</v>
      </c>
      <c r="B1111" s="68" t="s">
        <v>1123</v>
      </c>
      <c r="C1111" s="433" t="s">
        <v>1124</v>
      </c>
      <c r="D1111" s="434"/>
      <c r="E1111" s="434"/>
      <c r="F1111" s="434"/>
      <c r="G1111" s="434"/>
      <c r="H1111" s="434"/>
      <c r="I1111" s="435"/>
      <c r="J1111" s="221">
        <f>SUM(J1112:J1113)</f>
        <v>616810000</v>
      </c>
      <c r="K1111" s="39">
        <f t="shared" si="109"/>
        <v>0</v>
      </c>
      <c r="L1111" s="261">
        <f t="shared" si="106"/>
        <v>616810000</v>
      </c>
    </row>
    <row r="1112" spans="1:13" ht="83.25" customHeight="1" x14ac:dyDescent="0.25">
      <c r="A1112" s="18"/>
      <c r="B1112" s="19"/>
      <c r="C1112" s="20" t="s">
        <v>1129</v>
      </c>
      <c r="D1112" s="21"/>
      <c r="E1112" s="22" t="s">
        <v>23</v>
      </c>
      <c r="F1112" s="203">
        <v>62.6</v>
      </c>
      <c r="G1112" s="296">
        <v>13800000</v>
      </c>
      <c r="H1112" s="299">
        <v>0.59499999999999997</v>
      </c>
      <c r="I1112" s="300">
        <v>1.2</v>
      </c>
      <c r="J1112" s="223">
        <f>ROUND(F1112*G1112*H1112*I1112,-3)</f>
        <v>616810000</v>
      </c>
      <c r="K1112" s="39">
        <f t="shared" si="109"/>
        <v>616810000</v>
      </c>
      <c r="L1112" s="261">
        <f t="shared" si="106"/>
        <v>0</v>
      </c>
    </row>
    <row r="1113" spans="1:13" ht="83.25" customHeight="1" x14ac:dyDescent="0.25">
      <c r="A1113" s="18"/>
      <c r="B1113" s="19"/>
      <c r="C1113" s="20" t="s">
        <v>1128</v>
      </c>
      <c r="D1113" s="21"/>
      <c r="E1113" s="22" t="s">
        <v>23</v>
      </c>
      <c r="F1113" s="203">
        <v>100.3</v>
      </c>
      <c r="G1113" s="493" t="s">
        <v>1125</v>
      </c>
      <c r="H1113" s="494"/>
      <c r="I1113" s="494"/>
      <c r="J1113" s="222"/>
      <c r="K1113" s="39"/>
      <c r="L1113" s="261">
        <f t="shared" si="106"/>
        <v>0</v>
      </c>
    </row>
    <row r="1114" spans="1:13" x14ac:dyDescent="0.25">
      <c r="A1114" s="67" t="s">
        <v>1554</v>
      </c>
      <c r="B1114" s="68" t="s">
        <v>679</v>
      </c>
      <c r="C1114" s="433" t="s">
        <v>680</v>
      </c>
      <c r="D1114" s="434"/>
      <c r="E1114" s="434"/>
      <c r="F1114" s="434"/>
      <c r="G1114" s="434"/>
      <c r="H1114" s="434"/>
      <c r="I1114" s="435"/>
      <c r="J1114" s="221">
        <f>SUM(J1116:J1146)</f>
        <v>242952000</v>
      </c>
      <c r="K1114" s="39">
        <f t="shared" si="109"/>
        <v>0</v>
      </c>
      <c r="L1114" s="261">
        <f t="shared" si="106"/>
        <v>242952000</v>
      </c>
    </row>
    <row r="1115" spans="1:13" x14ac:dyDescent="0.25">
      <c r="A1115" s="18"/>
      <c r="B1115" s="19"/>
      <c r="C1115" s="483" t="s">
        <v>681</v>
      </c>
      <c r="D1115" s="484"/>
      <c r="E1115" s="484"/>
      <c r="F1115" s="484"/>
      <c r="G1115" s="484"/>
      <c r="H1115" s="484"/>
      <c r="I1115" s="485"/>
      <c r="J1115" s="221"/>
      <c r="K1115" s="39">
        <f t="shared" si="109"/>
        <v>0</v>
      </c>
      <c r="L1115" s="261">
        <f t="shared" si="106"/>
        <v>0</v>
      </c>
    </row>
    <row r="1116" spans="1:13" ht="75" x14ac:dyDescent="0.25">
      <c r="A1116" s="211"/>
      <c r="B1116" s="17"/>
      <c r="C1116" s="25" t="s">
        <v>682</v>
      </c>
      <c r="D1116" s="81" t="s">
        <v>63</v>
      </c>
      <c r="E1116" s="27" t="s">
        <v>23</v>
      </c>
      <c r="F1116" s="33">
        <f>4.2*9.2</f>
        <v>38.64</v>
      </c>
      <c r="G1116" s="49">
        <v>2975000</v>
      </c>
      <c r="H1116" s="37">
        <v>0.8</v>
      </c>
      <c r="I1116" s="31">
        <v>1.1479999999999999</v>
      </c>
      <c r="J1116" s="223">
        <f>ROUND(F1116*G1116*H1116*I1116,-3)</f>
        <v>105574000</v>
      </c>
      <c r="K1116" s="39">
        <f t="shared" si="109"/>
        <v>105574000</v>
      </c>
      <c r="L1116" s="261">
        <f t="shared" si="106"/>
        <v>0</v>
      </c>
    </row>
    <row r="1117" spans="1:13" ht="45" x14ac:dyDescent="0.3">
      <c r="A1117" s="107"/>
      <c r="B1117" s="84"/>
      <c r="C1117" s="167" t="s">
        <v>683</v>
      </c>
      <c r="D1117" s="34" t="s">
        <v>68</v>
      </c>
      <c r="E1117" s="168" t="s">
        <v>23</v>
      </c>
      <c r="F1117" s="85">
        <f>4*8.9</f>
        <v>35.6</v>
      </c>
      <c r="G1117" s="46">
        <v>213000</v>
      </c>
      <c r="H1117" s="37">
        <v>0.8</v>
      </c>
      <c r="I1117" s="31">
        <v>1.1479999999999999</v>
      </c>
      <c r="J1117" s="223">
        <f t="shared" ref="J1117:J1132" si="110">ROUND(F1117*G1117*H1117*I1117,-3)</f>
        <v>6964000</v>
      </c>
      <c r="K1117" s="39">
        <f t="shared" si="109"/>
        <v>6964000</v>
      </c>
      <c r="L1117" s="261">
        <f t="shared" si="106"/>
        <v>0</v>
      </c>
    </row>
    <row r="1118" spans="1:13" ht="45" x14ac:dyDescent="0.3">
      <c r="A1118" s="69"/>
      <c r="B1118" s="8"/>
      <c r="C1118" s="70" t="s">
        <v>684</v>
      </c>
      <c r="D1118" s="34" t="s">
        <v>52</v>
      </c>
      <c r="E1118" s="71" t="s">
        <v>23</v>
      </c>
      <c r="F1118" s="89">
        <f>6.9*3.9</f>
        <v>26.91</v>
      </c>
      <c r="G1118" s="11" t="s">
        <v>53</v>
      </c>
      <c r="H1118" s="37">
        <v>0.8</v>
      </c>
      <c r="I1118" s="31">
        <v>1.1479999999999999</v>
      </c>
      <c r="J1118" s="223">
        <f t="shared" si="110"/>
        <v>5833000</v>
      </c>
      <c r="K1118" s="39">
        <f t="shared" si="109"/>
        <v>5833000</v>
      </c>
      <c r="L1118" s="261">
        <f t="shared" si="106"/>
        <v>0</v>
      </c>
    </row>
    <row r="1119" spans="1:13" ht="45" x14ac:dyDescent="0.3">
      <c r="A1119" s="69"/>
      <c r="B1119" s="8"/>
      <c r="C1119" s="70" t="s">
        <v>685</v>
      </c>
      <c r="D1119" s="42" t="s">
        <v>225</v>
      </c>
      <c r="E1119" s="96" t="s">
        <v>91</v>
      </c>
      <c r="F1119" s="89">
        <f>7*4.1</f>
        <v>28.699999999999996</v>
      </c>
      <c r="G1119" s="29">
        <v>527000</v>
      </c>
      <c r="H1119" s="37">
        <v>0.8</v>
      </c>
      <c r="I1119" s="151">
        <v>1.1479999999999999</v>
      </c>
      <c r="J1119" s="223">
        <f t="shared" si="110"/>
        <v>13891000</v>
      </c>
      <c r="K1119" s="39">
        <f t="shared" si="109"/>
        <v>13891000</v>
      </c>
      <c r="L1119" s="261">
        <f t="shared" si="106"/>
        <v>0</v>
      </c>
    </row>
    <row r="1120" spans="1:13" ht="45" x14ac:dyDescent="0.3">
      <c r="A1120" s="69"/>
      <c r="B1120" s="8"/>
      <c r="C1120" s="70" t="s">
        <v>686</v>
      </c>
      <c r="D1120" s="26" t="s">
        <v>24</v>
      </c>
      <c r="E1120" s="84" t="s">
        <v>25</v>
      </c>
      <c r="F1120" s="89">
        <f>4.1*2.1*0.15</f>
        <v>1.2914999999999999</v>
      </c>
      <c r="G1120" s="86">
        <v>2828000</v>
      </c>
      <c r="H1120" s="37">
        <v>0.8</v>
      </c>
      <c r="I1120" s="88">
        <v>1.1479999999999999</v>
      </c>
      <c r="J1120" s="223">
        <f t="shared" si="110"/>
        <v>3354000</v>
      </c>
      <c r="K1120" s="39">
        <f t="shared" si="109"/>
        <v>3354000</v>
      </c>
      <c r="L1120" s="261">
        <f t="shared" si="106"/>
        <v>0</v>
      </c>
    </row>
    <row r="1121" spans="1:12" ht="45" x14ac:dyDescent="0.3">
      <c r="A1121" s="69"/>
      <c r="B1121" s="8"/>
      <c r="C1121" s="70" t="s">
        <v>888</v>
      </c>
      <c r="D1121" s="44" t="s">
        <v>33</v>
      </c>
      <c r="E1121" s="27" t="s">
        <v>23</v>
      </c>
      <c r="F1121" s="89">
        <f>(2.3*1)*2+4.1*1</f>
        <v>8.6999999999999993</v>
      </c>
      <c r="G1121" s="29">
        <v>453000</v>
      </c>
      <c r="H1121" s="37">
        <v>0.8</v>
      </c>
      <c r="I1121" s="31">
        <v>1.1479999999999999</v>
      </c>
      <c r="J1121" s="223">
        <f t="shared" si="110"/>
        <v>3620000</v>
      </c>
      <c r="K1121" s="39">
        <f t="shared" si="109"/>
        <v>3620000</v>
      </c>
      <c r="L1121" s="261">
        <f t="shared" si="106"/>
        <v>0</v>
      </c>
    </row>
    <row r="1122" spans="1:12" ht="45" x14ac:dyDescent="0.3">
      <c r="A1122" s="69"/>
      <c r="B1122" s="8"/>
      <c r="C1122" s="70" t="s">
        <v>889</v>
      </c>
      <c r="D1122" s="34" t="s">
        <v>51</v>
      </c>
      <c r="E1122" s="27" t="s">
        <v>23</v>
      </c>
      <c r="F1122" s="89">
        <f>4.3*2.4</f>
        <v>10.319999999999999</v>
      </c>
      <c r="G1122" s="29">
        <v>453000</v>
      </c>
      <c r="H1122" s="37">
        <v>0.8</v>
      </c>
      <c r="I1122" s="31">
        <v>1.1479999999999999</v>
      </c>
      <c r="J1122" s="223">
        <f t="shared" si="110"/>
        <v>4293000</v>
      </c>
      <c r="K1122" s="39">
        <f t="shared" si="109"/>
        <v>4293000</v>
      </c>
      <c r="L1122" s="261">
        <f t="shared" si="106"/>
        <v>0</v>
      </c>
    </row>
    <row r="1123" spans="1:12" ht="45" x14ac:dyDescent="0.3">
      <c r="A1123" s="69"/>
      <c r="B1123" s="8"/>
      <c r="C1123" s="70" t="s">
        <v>687</v>
      </c>
      <c r="D1123" s="42" t="s">
        <v>225</v>
      </c>
      <c r="E1123" s="96" t="s">
        <v>91</v>
      </c>
      <c r="F1123" s="89">
        <f>1.8*1+2.3*0.4</f>
        <v>2.7199999999999998</v>
      </c>
      <c r="G1123" s="29">
        <v>527000</v>
      </c>
      <c r="H1123" s="37">
        <v>0.8</v>
      </c>
      <c r="I1123" s="151">
        <v>1.1479999999999999</v>
      </c>
      <c r="J1123" s="223">
        <f t="shared" si="110"/>
        <v>1316000</v>
      </c>
      <c r="K1123" s="39">
        <f t="shared" si="109"/>
        <v>1316000</v>
      </c>
      <c r="L1123" s="261">
        <f t="shared" si="106"/>
        <v>0</v>
      </c>
    </row>
    <row r="1124" spans="1:12" ht="45" x14ac:dyDescent="0.3">
      <c r="A1124" s="69"/>
      <c r="B1124" s="8"/>
      <c r="C1124" s="70" t="s">
        <v>688</v>
      </c>
      <c r="D1124" s="26" t="s">
        <v>161</v>
      </c>
      <c r="E1124" s="71" t="s">
        <v>23</v>
      </c>
      <c r="F1124" s="89">
        <f>3.8*2.4</f>
        <v>9.1199999999999992</v>
      </c>
      <c r="G1124" s="11">
        <v>396000</v>
      </c>
      <c r="H1124" s="37">
        <v>0.8</v>
      </c>
      <c r="I1124" s="31">
        <v>1.1479999999999999</v>
      </c>
      <c r="J1124" s="223">
        <f t="shared" si="110"/>
        <v>3317000</v>
      </c>
      <c r="K1124" s="39">
        <f t="shared" si="109"/>
        <v>3317000</v>
      </c>
      <c r="L1124" s="261">
        <f t="shared" si="106"/>
        <v>0</v>
      </c>
    </row>
    <row r="1125" spans="1:12" ht="45" x14ac:dyDescent="0.3">
      <c r="A1125" s="69"/>
      <c r="B1125" s="8"/>
      <c r="C1125" s="70" t="s">
        <v>689</v>
      </c>
      <c r="D1125" s="34" t="s">
        <v>66</v>
      </c>
      <c r="E1125" s="27" t="s">
        <v>23</v>
      </c>
      <c r="F1125" s="89">
        <f>(2.2*0.8)*2+4.2*0.2+19.5*0.15</f>
        <v>7.2850000000000001</v>
      </c>
      <c r="G1125" s="29">
        <v>339000</v>
      </c>
      <c r="H1125" s="37">
        <v>0.8</v>
      </c>
      <c r="I1125" s="31">
        <v>1.1479999999999999</v>
      </c>
      <c r="J1125" s="223">
        <f t="shared" si="110"/>
        <v>2268000</v>
      </c>
      <c r="K1125" s="39">
        <f t="shared" si="109"/>
        <v>2268000</v>
      </c>
      <c r="L1125" s="261">
        <f t="shared" si="106"/>
        <v>0</v>
      </c>
    </row>
    <row r="1126" spans="1:12" ht="45" x14ac:dyDescent="0.3">
      <c r="A1126" s="69"/>
      <c r="B1126" s="8"/>
      <c r="C1126" s="70" t="s">
        <v>690</v>
      </c>
      <c r="D1126" s="34" t="s">
        <v>66</v>
      </c>
      <c r="E1126" s="27" t="s">
        <v>23</v>
      </c>
      <c r="F1126" s="89">
        <f>3*1.4+4*1.75+0.5*0.8+5*2.2</f>
        <v>22.6</v>
      </c>
      <c r="G1126" s="29">
        <v>339000</v>
      </c>
      <c r="H1126" s="37">
        <v>0.8</v>
      </c>
      <c r="I1126" s="31">
        <v>1.1479999999999999</v>
      </c>
      <c r="J1126" s="223">
        <f t="shared" si="110"/>
        <v>7036000</v>
      </c>
      <c r="K1126" s="39">
        <f t="shared" si="109"/>
        <v>7036000</v>
      </c>
      <c r="L1126" s="261">
        <f t="shared" si="106"/>
        <v>0</v>
      </c>
    </row>
    <row r="1127" spans="1:12" ht="45" x14ac:dyDescent="0.3">
      <c r="A1127" s="69"/>
      <c r="B1127" s="8"/>
      <c r="C1127" s="70" t="s">
        <v>691</v>
      </c>
      <c r="D1127" s="42" t="s">
        <v>32</v>
      </c>
      <c r="E1127" s="27" t="s">
        <v>23</v>
      </c>
      <c r="F1127" s="89">
        <f>5.1*4.2</f>
        <v>21.419999999999998</v>
      </c>
      <c r="G1127" s="29">
        <v>215000</v>
      </c>
      <c r="H1127" s="37">
        <v>0.8</v>
      </c>
      <c r="I1127" s="31">
        <v>1.1479999999999999</v>
      </c>
      <c r="J1127" s="223">
        <f t="shared" si="110"/>
        <v>4230000</v>
      </c>
      <c r="K1127" s="39">
        <f t="shared" si="109"/>
        <v>4230000</v>
      </c>
      <c r="L1127" s="261">
        <f t="shared" si="106"/>
        <v>0</v>
      </c>
    </row>
    <row r="1128" spans="1:12" ht="45" x14ac:dyDescent="0.3">
      <c r="A1128" s="69"/>
      <c r="B1128" s="8"/>
      <c r="C1128" s="70" t="s">
        <v>186</v>
      </c>
      <c r="D1128" s="62" t="s">
        <v>44</v>
      </c>
      <c r="E1128" s="63" t="s">
        <v>45</v>
      </c>
      <c r="F1128" s="89">
        <v>7</v>
      </c>
      <c r="G1128" s="65">
        <v>28000</v>
      </c>
      <c r="H1128" s="37">
        <v>0.8</v>
      </c>
      <c r="I1128" s="31">
        <v>1.1479999999999999</v>
      </c>
      <c r="J1128" s="223">
        <f t="shared" si="110"/>
        <v>180000</v>
      </c>
      <c r="K1128" s="39">
        <f t="shared" si="109"/>
        <v>180000</v>
      </c>
      <c r="L1128" s="261">
        <f t="shared" si="106"/>
        <v>0</v>
      </c>
    </row>
    <row r="1129" spans="1:12" ht="45" x14ac:dyDescent="0.3">
      <c r="A1129" s="69"/>
      <c r="B1129" s="8"/>
      <c r="C1129" s="70" t="s">
        <v>187</v>
      </c>
      <c r="D1129" s="42" t="s">
        <v>47</v>
      </c>
      <c r="E1129" s="63" t="s">
        <v>45</v>
      </c>
      <c r="F1129" s="89">
        <v>7</v>
      </c>
      <c r="G1129" s="46">
        <v>28000</v>
      </c>
      <c r="H1129" s="37">
        <v>0.8</v>
      </c>
      <c r="I1129" s="31">
        <v>1.1479999999999999</v>
      </c>
      <c r="J1129" s="223">
        <f t="shared" si="110"/>
        <v>180000</v>
      </c>
      <c r="K1129" s="39">
        <f t="shared" si="109"/>
        <v>180000</v>
      </c>
      <c r="L1129" s="261">
        <f t="shared" si="106"/>
        <v>0</v>
      </c>
    </row>
    <row r="1130" spans="1:12" ht="45" x14ac:dyDescent="0.3">
      <c r="A1130" s="69"/>
      <c r="B1130" s="8"/>
      <c r="C1130" s="70" t="s">
        <v>692</v>
      </c>
      <c r="D1130" s="58" t="s">
        <v>41</v>
      </c>
      <c r="E1130" s="59" t="s">
        <v>42</v>
      </c>
      <c r="F1130" s="89">
        <v>6</v>
      </c>
      <c r="G1130" s="11">
        <v>10650</v>
      </c>
      <c r="H1130" s="37">
        <v>1</v>
      </c>
      <c r="I1130" s="61">
        <v>1</v>
      </c>
      <c r="J1130" s="223">
        <f t="shared" si="110"/>
        <v>64000</v>
      </c>
      <c r="K1130" s="39">
        <f t="shared" si="109"/>
        <v>64000</v>
      </c>
      <c r="L1130" s="261">
        <f t="shared" si="106"/>
        <v>0</v>
      </c>
    </row>
    <row r="1131" spans="1:12" ht="45" x14ac:dyDescent="0.3">
      <c r="A1131" s="69"/>
      <c r="B1131" s="8"/>
      <c r="C1131" s="70" t="s">
        <v>693</v>
      </c>
      <c r="D1131" s="58" t="s">
        <v>41</v>
      </c>
      <c r="E1131" s="59" t="s">
        <v>42</v>
      </c>
      <c r="F1131" s="89">
        <v>21</v>
      </c>
      <c r="G1131" s="11">
        <v>5330</v>
      </c>
      <c r="H1131" s="60">
        <v>1</v>
      </c>
      <c r="I1131" s="61">
        <v>1</v>
      </c>
      <c r="J1131" s="223">
        <f t="shared" si="110"/>
        <v>112000</v>
      </c>
      <c r="K1131" s="39">
        <f t="shared" si="109"/>
        <v>112000</v>
      </c>
      <c r="L1131" s="261">
        <f t="shared" si="106"/>
        <v>0</v>
      </c>
    </row>
    <row r="1132" spans="1:12" ht="45" x14ac:dyDescent="0.3">
      <c r="A1132" s="69"/>
      <c r="B1132" s="8"/>
      <c r="C1132" s="70" t="s">
        <v>694</v>
      </c>
      <c r="D1132" s="34" t="s">
        <v>97</v>
      </c>
      <c r="E1132" s="71" t="s">
        <v>98</v>
      </c>
      <c r="F1132" s="89">
        <v>1</v>
      </c>
      <c r="G1132" s="36">
        <v>226000</v>
      </c>
      <c r="H1132" s="37">
        <v>0.8</v>
      </c>
      <c r="I1132" s="31">
        <v>1.1479999999999999</v>
      </c>
      <c r="J1132" s="223">
        <f t="shared" si="110"/>
        <v>208000</v>
      </c>
      <c r="K1132" s="39">
        <f t="shared" si="109"/>
        <v>208000</v>
      </c>
      <c r="L1132" s="261">
        <f t="shared" si="106"/>
        <v>0</v>
      </c>
    </row>
    <row r="1133" spans="1:12" x14ac:dyDescent="0.25">
      <c r="A1133" s="18"/>
      <c r="B1133" s="19"/>
      <c r="C1133" s="483" t="s">
        <v>696</v>
      </c>
      <c r="D1133" s="484"/>
      <c r="E1133" s="484"/>
      <c r="F1133" s="484"/>
      <c r="G1133" s="484"/>
      <c r="H1133" s="484"/>
      <c r="I1133" s="485"/>
      <c r="J1133" s="221"/>
      <c r="K1133" s="39">
        <f t="shared" si="109"/>
        <v>0</v>
      </c>
      <c r="L1133" s="261">
        <f t="shared" si="106"/>
        <v>0</v>
      </c>
    </row>
    <row r="1134" spans="1:12" ht="45" x14ac:dyDescent="0.25">
      <c r="A1134" s="18"/>
      <c r="B1134" s="19"/>
      <c r="C1134" s="20" t="s">
        <v>697</v>
      </c>
      <c r="D1134" s="26" t="s">
        <v>207</v>
      </c>
      <c r="E1134" s="71" t="s">
        <v>23</v>
      </c>
      <c r="F1134" s="203">
        <f>1.3*2.4</f>
        <v>3.12</v>
      </c>
      <c r="G1134" s="29">
        <v>566000</v>
      </c>
      <c r="H1134" s="37">
        <v>0.8</v>
      </c>
      <c r="I1134" s="31">
        <v>1.1479999999999999</v>
      </c>
      <c r="J1134" s="223">
        <f t="shared" ref="J1134:J1139" si="111">ROUND(F1134*G1134*H1134*I1134,-3)</f>
        <v>1622000</v>
      </c>
      <c r="K1134" s="39">
        <f t="shared" si="109"/>
        <v>1622000</v>
      </c>
      <c r="L1134" s="261">
        <f t="shared" si="106"/>
        <v>0</v>
      </c>
    </row>
    <row r="1135" spans="1:12" ht="45" x14ac:dyDescent="0.25">
      <c r="A1135" s="211"/>
      <c r="B1135" s="17"/>
      <c r="C1135" s="25" t="s">
        <v>698</v>
      </c>
      <c r="D1135" s="26" t="s">
        <v>24</v>
      </c>
      <c r="E1135" s="27" t="s">
        <v>25</v>
      </c>
      <c r="F1135" s="33">
        <f>0.1*0.1*2.7</f>
        <v>2.7000000000000007E-2</v>
      </c>
      <c r="G1135" s="29">
        <v>2828000</v>
      </c>
      <c r="H1135" s="37">
        <v>0.8</v>
      </c>
      <c r="I1135" s="31">
        <v>1.1479999999999999</v>
      </c>
      <c r="J1135" s="223">
        <f t="shared" si="111"/>
        <v>70000</v>
      </c>
      <c r="K1135" s="39">
        <f t="shared" si="109"/>
        <v>70000</v>
      </c>
      <c r="L1135" s="261">
        <f t="shared" si="106"/>
        <v>0</v>
      </c>
    </row>
    <row r="1136" spans="1:12" ht="45" x14ac:dyDescent="0.25">
      <c r="A1136" s="211"/>
      <c r="B1136" s="17"/>
      <c r="C1136" s="134" t="s">
        <v>699</v>
      </c>
      <c r="D1136" s="34" t="s">
        <v>925</v>
      </c>
      <c r="E1136" s="27" t="s">
        <v>39</v>
      </c>
      <c r="F1136" s="204">
        <v>1</v>
      </c>
      <c r="G1136" s="55">
        <v>1358000</v>
      </c>
      <c r="H1136" s="37">
        <v>0.8</v>
      </c>
      <c r="I1136" s="57">
        <v>1.1479999999999999</v>
      </c>
      <c r="J1136" s="226">
        <f t="shared" si="111"/>
        <v>1247000</v>
      </c>
      <c r="K1136" s="39">
        <f t="shared" si="109"/>
        <v>1247000</v>
      </c>
      <c r="L1136" s="261">
        <f t="shared" si="106"/>
        <v>0</v>
      </c>
    </row>
    <row r="1137" spans="1:12" ht="45" x14ac:dyDescent="0.25">
      <c r="A1137" s="211"/>
      <c r="B1137" s="17"/>
      <c r="C1137" s="25" t="s">
        <v>321</v>
      </c>
      <c r="D1137" s="34" t="s">
        <v>38</v>
      </c>
      <c r="E1137" s="27" t="s">
        <v>39</v>
      </c>
      <c r="F1137" s="33">
        <v>2</v>
      </c>
      <c r="G1137" s="55">
        <v>1018000</v>
      </c>
      <c r="H1137" s="37">
        <v>0.8</v>
      </c>
      <c r="I1137" s="57">
        <v>1.1479999999999999</v>
      </c>
      <c r="J1137" s="226">
        <f t="shared" si="111"/>
        <v>1870000</v>
      </c>
      <c r="K1137" s="39">
        <f t="shared" si="109"/>
        <v>1870000</v>
      </c>
      <c r="L1137" s="261">
        <f t="shared" si="106"/>
        <v>0</v>
      </c>
    </row>
    <row r="1138" spans="1:12" ht="45" x14ac:dyDescent="0.25">
      <c r="A1138" s="211"/>
      <c r="B1138" s="17"/>
      <c r="C1138" s="25" t="s">
        <v>890</v>
      </c>
      <c r="D1138" s="34" t="s">
        <v>29</v>
      </c>
      <c r="E1138" s="27" t="s">
        <v>23</v>
      </c>
      <c r="F1138" s="33">
        <f>9.1*1.8</f>
        <v>16.38</v>
      </c>
      <c r="G1138" s="29">
        <v>792000</v>
      </c>
      <c r="H1138" s="37">
        <v>0.8</v>
      </c>
      <c r="I1138" s="31">
        <v>1.1479999999999999</v>
      </c>
      <c r="J1138" s="223">
        <f t="shared" si="111"/>
        <v>11914000</v>
      </c>
      <c r="K1138" s="39">
        <f t="shared" si="109"/>
        <v>11914000</v>
      </c>
      <c r="L1138" s="261">
        <f t="shared" si="106"/>
        <v>0</v>
      </c>
    </row>
    <row r="1139" spans="1:12" ht="45" x14ac:dyDescent="0.25">
      <c r="A1139" s="211"/>
      <c r="B1139" s="17"/>
      <c r="C1139" s="25" t="s">
        <v>700</v>
      </c>
      <c r="D1139" s="42" t="s">
        <v>32</v>
      </c>
      <c r="E1139" s="27" t="s">
        <v>23</v>
      </c>
      <c r="F1139" s="33">
        <f>3.3*6</f>
        <v>19.799999999999997</v>
      </c>
      <c r="G1139" s="29">
        <v>215000</v>
      </c>
      <c r="H1139" s="37">
        <v>0.8</v>
      </c>
      <c r="I1139" s="31">
        <v>1.1479999999999999</v>
      </c>
      <c r="J1139" s="223">
        <f t="shared" si="111"/>
        <v>3910000</v>
      </c>
      <c r="K1139" s="39">
        <f t="shared" si="109"/>
        <v>3910000</v>
      </c>
      <c r="L1139" s="261">
        <f t="shared" si="106"/>
        <v>0</v>
      </c>
    </row>
    <row r="1140" spans="1:12" x14ac:dyDescent="0.25">
      <c r="A1140" s="18"/>
      <c r="B1140" s="19"/>
      <c r="C1140" s="483" t="s">
        <v>701</v>
      </c>
      <c r="D1140" s="484"/>
      <c r="E1140" s="484"/>
      <c r="F1140" s="484"/>
      <c r="G1140" s="484"/>
      <c r="H1140" s="484"/>
      <c r="I1140" s="485"/>
      <c r="J1140" s="221"/>
      <c r="K1140" s="39">
        <f t="shared" si="109"/>
        <v>0</v>
      </c>
      <c r="L1140" s="261">
        <f t="shared" ref="L1140:L1203" si="112">J1140-K1140</f>
        <v>0</v>
      </c>
    </row>
    <row r="1141" spans="1:12" ht="45" x14ac:dyDescent="0.25">
      <c r="A1141" s="211"/>
      <c r="B1141" s="17"/>
      <c r="C1141" s="25" t="s">
        <v>891</v>
      </c>
      <c r="D1141" s="34" t="s">
        <v>51</v>
      </c>
      <c r="E1141" s="27" t="s">
        <v>23</v>
      </c>
      <c r="F1141" s="33">
        <f>10.8*6.4</f>
        <v>69.12</v>
      </c>
      <c r="G1141" s="29">
        <v>453000</v>
      </c>
      <c r="H1141" s="37">
        <v>0.8</v>
      </c>
      <c r="I1141" s="31">
        <v>1.1479999999999999</v>
      </c>
      <c r="J1141" s="223">
        <f t="shared" ref="J1141:J1146" si="113">ROUND(F1141*G1141*H1141*I1141,-3)</f>
        <v>28756000</v>
      </c>
      <c r="K1141" s="39">
        <f t="shared" si="109"/>
        <v>28756000</v>
      </c>
      <c r="L1141" s="261">
        <f t="shared" si="112"/>
        <v>0</v>
      </c>
    </row>
    <row r="1142" spans="1:12" ht="45" x14ac:dyDescent="0.25">
      <c r="A1142" s="211"/>
      <c r="B1142" s="17"/>
      <c r="C1142" s="25" t="s">
        <v>702</v>
      </c>
      <c r="D1142" s="42" t="s">
        <v>32</v>
      </c>
      <c r="E1142" s="27" t="s">
        <v>23</v>
      </c>
      <c r="F1142" s="33">
        <f>8.7*6.4</f>
        <v>55.68</v>
      </c>
      <c r="G1142" s="29">
        <v>215000</v>
      </c>
      <c r="H1142" s="37">
        <v>0.8</v>
      </c>
      <c r="I1142" s="31">
        <v>1.1479999999999999</v>
      </c>
      <c r="J1142" s="223">
        <f t="shared" si="113"/>
        <v>10994000</v>
      </c>
      <c r="K1142" s="39">
        <f t="shared" si="109"/>
        <v>10994000</v>
      </c>
      <c r="L1142" s="261">
        <f t="shared" si="112"/>
        <v>0</v>
      </c>
    </row>
    <row r="1143" spans="1:12" ht="45" x14ac:dyDescent="0.25">
      <c r="A1143" s="211"/>
      <c r="B1143" s="17"/>
      <c r="C1143" s="25" t="s">
        <v>703</v>
      </c>
      <c r="D1143" s="26" t="s">
        <v>207</v>
      </c>
      <c r="E1143" s="71" t="s">
        <v>23</v>
      </c>
      <c r="F1143" s="33">
        <f>2.6*2.4</f>
        <v>6.24</v>
      </c>
      <c r="G1143" s="29">
        <v>566000</v>
      </c>
      <c r="H1143" s="37">
        <v>0.8</v>
      </c>
      <c r="I1143" s="31">
        <v>1.1479999999999999</v>
      </c>
      <c r="J1143" s="223">
        <f t="shared" si="113"/>
        <v>3244000</v>
      </c>
      <c r="K1143" s="39">
        <f t="shared" si="109"/>
        <v>3244000</v>
      </c>
      <c r="L1143" s="261">
        <f t="shared" si="112"/>
        <v>0</v>
      </c>
    </row>
    <row r="1144" spans="1:12" ht="45" x14ac:dyDescent="0.25">
      <c r="A1144" s="211"/>
      <c r="B1144" s="17"/>
      <c r="C1144" s="25" t="s">
        <v>704</v>
      </c>
      <c r="D1144" s="26" t="s">
        <v>89</v>
      </c>
      <c r="E1144" s="71" t="s">
        <v>23</v>
      </c>
      <c r="F1144" s="33">
        <f>2.8*1.8+(8.7*1.8)*2</f>
        <v>36.36</v>
      </c>
      <c r="G1144" s="29">
        <v>11000</v>
      </c>
      <c r="H1144" s="37">
        <v>0.8</v>
      </c>
      <c r="I1144" s="31">
        <v>1.1479999999999999</v>
      </c>
      <c r="J1144" s="223">
        <f t="shared" si="113"/>
        <v>367000</v>
      </c>
      <c r="K1144" s="39">
        <f t="shared" si="109"/>
        <v>367000</v>
      </c>
      <c r="L1144" s="261">
        <f t="shared" si="112"/>
        <v>0</v>
      </c>
    </row>
    <row r="1145" spans="1:12" ht="45" x14ac:dyDescent="0.25">
      <c r="A1145" s="211"/>
      <c r="B1145" s="17"/>
      <c r="C1145" s="25" t="s">
        <v>705</v>
      </c>
      <c r="D1145" s="34" t="s">
        <v>30</v>
      </c>
      <c r="E1145" s="27" t="s">
        <v>23</v>
      </c>
      <c r="F1145" s="33">
        <f>(8.7*1.1)*2</f>
        <v>19.14</v>
      </c>
      <c r="G1145" s="39">
        <v>679000</v>
      </c>
      <c r="H1145" s="37">
        <v>0.8</v>
      </c>
      <c r="I1145" s="40">
        <v>1.1479999999999999</v>
      </c>
      <c r="J1145" s="224">
        <f t="shared" si="113"/>
        <v>11936000</v>
      </c>
      <c r="K1145" s="39">
        <f t="shared" si="109"/>
        <v>11936000</v>
      </c>
      <c r="L1145" s="261">
        <f t="shared" si="112"/>
        <v>0</v>
      </c>
    </row>
    <row r="1146" spans="1:12" ht="45" x14ac:dyDescent="0.25">
      <c r="A1146" s="211"/>
      <c r="B1146" s="17"/>
      <c r="C1146" s="25" t="s">
        <v>706</v>
      </c>
      <c r="D1146" s="34" t="s">
        <v>52</v>
      </c>
      <c r="E1146" s="27" t="s">
        <v>23</v>
      </c>
      <c r="F1146" s="33">
        <f>8.7*1.4+6.4*1.4</f>
        <v>21.139999999999997</v>
      </c>
      <c r="G1146" s="11" t="s">
        <v>53</v>
      </c>
      <c r="H1146" s="37">
        <v>0.8</v>
      </c>
      <c r="I1146" s="78">
        <v>1.1479999999999999</v>
      </c>
      <c r="J1146" s="223">
        <f t="shared" si="113"/>
        <v>4582000</v>
      </c>
      <c r="K1146" s="39">
        <f t="shared" si="109"/>
        <v>4582000</v>
      </c>
      <c r="L1146" s="261">
        <f t="shared" si="112"/>
        <v>0</v>
      </c>
    </row>
    <row r="1147" spans="1:12" x14ac:dyDescent="0.25">
      <c r="A1147" s="211" t="s">
        <v>1555</v>
      </c>
      <c r="B1147" s="17" t="s">
        <v>695</v>
      </c>
      <c r="C1147" s="433" t="s">
        <v>708</v>
      </c>
      <c r="D1147" s="434"/>
      <c r="E1147" s="434"/>
      <c r="F1147" s="434"/>
      <c r="G1147" s="434"/>
      <c r="H1147" s="434"/>
      <c r="I1147" s="435"/>
      <c r="J1147" s="221">
        <f>SUM(J1148:J1154)</f>
        <v>14289000</v>
      </c>
      <c r="K1147" s="39">
        <f t="shared" si="109"/>
        <v>0</v>
      </c>
      <c r="L1147" s="261">
        <f t="shared" si="112"/>
        <v>14289000</v>
      </c>
    </row>
    <row r="1148" spans="1:12" x14ac:dyDescent="0.25">
      <c r="A1148" s="18"/>
      <c r="B1148" s="19"/>
      <c r="C1148" s="483" t="s">
        <v>681</v>
      </c>
      <c r="D1148" s="484"/>
      <c r="E1148" s="484"/>
      <c r="F1148" s="484"/>
      <c r="G1148" s="484"/>
      <c r="H1148" s="484"/>
      <c r="I1148" s="485"/>
      <c r="J1148" s="221"/>
      <c r="K1148" s="39">
        <f t="shared" si="109"/>
        <v>0</v>
      </c>
      <c r="L1148" s="261">
        <f t="shared" si="112"/>
        <v>0</v>
      </c>
    </row>
    <row r="1149" spans="1:12" ht="45" x14ac:dyDescent="0.25">
      <c r="A1149" s="211"/>
      <c r="B1149" s="17"/>
      <c r="C1149" s="25" t="s">
        <v>709</v>
      </c>
      <c r="D1149" s="26" t="s">
        <v>207</v>
      </c>
      <c r="E1149" s="71" t="s">
        <v>23</v>
      </c>
      <c r="F1149" s="33">
        <f>2.3*2</f>
        <v>4.5999999999999996</v>
      </c>
      <c r="G1149" s="29">
        <v>566000</v>
      </c>
      <c r="H1149" s="37">
        <v>0.8</v>
      </c>
      <c r="I1149" s="31">
        <v>1.1479999999999999</v>
      </c>
      <c r="J1149" s="223">
        <f t="shared" ref="J1149:J1154" si="114">ROUND(F1149*G1149*H1149*I1149,-3)</f>
        <v>2391000</v>
      </c>
      <c r="K1149" s="39">
        <f t="shared" si="109"/>
        <v>2391000</v>
      </c>
      <c r="L1149" s="261">
        <f t="shared" si="112"/>
        <v>0</v>
      </c>
    </row>
    <row r="1150" spans="1:12" ht="45" x14ac:dyDescent="0.3">
      <c r="A1150" s="69"/>
      <c r="B1150" s="8"/>
      <c r="C1150" s="82" t="s">
        <v>892</v>
      </c>
      <c r="D1150" s="34" t="s">
        <v>51</v>
      </c>
      <c r="E1150" s="27" t="s">
        <v>23</v>
      </c>
      <c r="F1150" s="89">
        <f>6.7*1.9</f>
        <v>12.73</v>
      </c>
      <c r="G1150" s="29">
        <v>453000</v>
      </c>
      <c r="H1150" s="37">
        <v>0.8</v>
      </c>
      <c r="I1150" s="31">
        <v>1.1479999999999999</v>
      </c>
      <c r="J1150" s="223">
        <f t="shared" si="114"/>
        <v>5296000</v>
      </c>
      <c r="K1150" s="39">
        <f t="shared" si="109"/>
        <v>5296000</v>
      </c>
      <c r="L1150" s="261">
        <f t="shared" si="112"/>
        <v>0</v>
      </c>
    </row>
    <row r="1151" spans="1:12" ht="45" x14ac:dyDescent="0.3">
      <c r="A1151" s="69"/>
      <c r="B1151" s="8"/>
      <c r="C1151" s="82" t="s">
        <v>710</v>
      </c>
      <c r="D1151" s="34" t="s">
        <v>31</v>
      </c>
      <c r="E1151" s="27" t="s">
        <v>23</v>
      </c>
      <c r="F1151" s="89">
        <f>7*1.9</f>
        <v>13.299999999999999</v>
      </c>
      <c r="G1151" s="29">
        <v>339000</v>
      </c>
      <c r="H1151" s="37">
        <v>0.8</v>
      </c>
      <c r="I1151" s="31">
        <v>1.1479999999999999</v>
      </c>
      <c r="J1151" s="223">
        <f t="shared" si="114"/>
        <v>4141000</v>
      </c>
      <c r="K1151" s="39">
        <f t="shared" si="109"/>
        <v>4141000</v>
      </c>
      <c r="L1151" s="261">
        <f t="shared" si="112"/>
        <v>0</v>
      </c>
    </row>
    <row r="1152" spans="1:12" ht="45" x14ac:dyDescent="0.3">
      <c r="A1152" s="69"/>
      <c r="B1152" s="8"/>
      <c r="C1152" s="82" t="s">
        <v>711</v>
      </c>
      <c r="D1152" s="42" t="s">
        <v>32</v>
      </c>
      <c r="E1152" s="27" t="s">
        <v>23</v>
      </c>
      <c r="F1152" s="89">
        <f>5.6*1.9</f>
        <v>10.639999999999999</v>
      </c>
      <c r="G1152" s="29">
        <v>215000</v>
      </c>
      <c r="H1152" s="37">
        <v>0.8</v>
      </c>
      <c r="I1152" s="31">
        <v>1.1479999999999999</v>
      </c>
      <c r="J1152" s="223">
        <f t="shared" si="114"/>
        <v>2101000</v>
      </c>
      <c r="K1152" s="39">
        <f t="shared" si="109"/>
        <v>2101000</v>
      </c>
      <c r="L1152" s="261">
        <f t="shared" si="112"/>
        <v>0</v>
      </c>
    </row>
    <row r="1153" spans="1:12" ht="45" x14ac:dyDescent="0.3">
      <c r="A1153" s="69"/>
      <c r="B1153" s="8"/>
      <c r="C1153" s="82" t="s">
        <v>186</v>
      </c>
      <c r="D1153" s="62" t="s">
        <v>44</v>
      </c>
      <c r="E1153" s="63" t="s">
        <v>45</v>
      </c>
      <c r="F1153" s="89">
        <v>7</v>
      </c>
      <c r="G1153" s="65">
        <v>28000</v>
      </c>
      <c r="H1153" s="37">
        <v>0.8</v>
      </c>
      <c r="I1153" s="31">
        <v>1.1479999999999999</v>
      </c>
      <c r="J1153" s="223">
        <f t="shared" si="114"/>
        <v>180000</v>
      </c>
      <c r="K1153" s="39">
        <f t="shared" si="109"/>
        <v>180000</v>
      </c>
      <c r="L1153" s="261">
        <f t="shared" si="112"/>
        <v>0</v>
      </c>
    </row>
    <row r="1154" spans="1:12" ht="45" x14ac:dyDescent="0.3">
      <c r="A1154" s="69"/>
      <c r="B1154" s="8"/>
      <c r="C1154" s="82" t="s">
        <v>187</v>
      </c>
      <c r="D1154" s="42" t="s">
        <v>47</v>
      </c>
      <c r="E1154" s="63" t="s">
        <v>45</v>
      </c>
      <c r="F1154" s="89">
        <v>7</v>
      </c>
      <c r="G1154" s="46">
        <v>28000</v>
      </c>
      <c r="H1154" s="37">
        <v>0.8</v>
      </c>
      <c r="I1154" s="31">
        <v>1.1479999999999999</v>
      </c>
      <c r="J1154" s="223">
        <f t="shared" si="114"/>
        <v>180000</v>
      </c>
      <c r="K1154" s="39">
        <f t="shared" si="109"/>
        <v>180000</v>
      </c>
      <c r="L1154" s="261">
        <f t="shared" si="112"/>
        <v>0</v>
      </c>
    </row>
    <row r="1155" spans="1:12" x14ac:dyDescent="0.25">
      <c r="A1155" s="211" t="s">
        <v>1556</v>
      </c>
      <c r="B1155" s="17" t="s">
        <v>707</v>
      </c>
      <c r="C1155" s="477" t="s">
        <v>713</v>
      </c>
      <c r="D1155" s="478"/>
      <c r="E1155" s="478"/>
      <c r="F1155" s="478"/>
      <c r="G1155" s="478"/>
      <c r="H1155" s="478"/>
      <c r="I1155" s="479"/>
      <c r="J1155" s="221">
        <f>SUM(J1157:J1167)</f>
        <v>139013000</v>
      </c>
      <c r="K1155" s="39">
        <f t="shared" si="109"/>
        <v>0</v>
      </c>
      <c r="L1155" s="261">
        <f t="shared" si="112"/>
        <v>139013000</v>
      </c>
    </row>
    <row r="1156" spans="1:12" x14ac:dyDescent="0.25">
      <c r="A1156" s="18"/>
      <c r="B1156" s="19"/>
      <c r="C1156" s="483" t="s">
        <v>681</v>
      </c>
      <c r="D1156" s="484"/>
      <c r="E1156" s="484"/>
      <c r="F1156" s="484"/>
      <c r="G1156" s="484"/>
      <c r="H1156" s="484"/>
      <c r="I1156" s="485"/>
      <c r="J1156" s="221"/>
      <c r="K1156" s="39">
        <f t="shared" si="109"/>
        <v>0</v>
      </c>
      <c r="L1156" s="261">
        <f t="shared" si="112"/>
        <v>0</v>
      </c>
    </row>
    <row r="1157" spans="1:12" ht="75" x14ac:dyDescent="0.25">
      <c r="A1157" s="18"/>
      <c r="B1157" s="19"/>
      <c r="C1157" s="20" t="s">
        <v>893</v>
      </c>
      <c r="D1157" s="81" t="s">
        <v>435</v>
      </c>
      <c r="E1157" s="27" t="s">
        <v>23</v>
      </c>
      <c r="F1157" s="203">
        <f>7.2*4.4</f>
        <v>31.680000000000003</v>
      </c>
      <c r="G1157" s="29">
        <v>3371000</v>
      </c>
      <c r="H1157" s="37">
        <v>0.8</v>
      </c>
      <c r="I1157" s="102">
        <v>1.1479999999999999</v>
      </c>
      <c r="J1157" s="223">
        <f>ROUND(F1157*G1157*H1157*I1157,-3)</f>
        <v>98079000</v>
      </c>
      <c r="K1157" s="39">
        <f t="shared" si="109"/>
        <v>98079000</v>
      </c>
      <c r="L1157" s="261">
        <f t="shared" si="112"/>
        <v>0</v>
      </c>
    </row>
    <row r="1158" spans="1:12" ht="45" x14ac:dyDescent="0.25">
      <c r="A1158" s="211"/>
      <c r="B1158" s="17"/>
      <c r="C1158" s="25" t="s">
        <v>714</v>
      </c>
      <c r="D1158" s="42" t="s">
        <v>225</v>
      </c>
      <c r="E1158" s="96" t="s">
        <v>91</v>
      </c>
      <c r="F1158" s="33">
        <f>4.4*7.2</f>
        <v>31.680000000000003</v>
      </c>
      <c r="G1158" s="29">
        <v>527000</v>
      </c>
      <c r="H1158" s="37">
        <v>0.8</v>
      </c>
      <c r="I1158" s="151">
        <v>1.1479999999999999</v>
      </c>
      <c r="J1158" s="223">
        <f t="shared" ref="J1158:J1167" si="115">ROUND(F1158*G1158*H1158*I1158,-3)</f>
        <v>15333000</v>
      </c>
      <c r="K1158" s="39">
        <f t="shared" si="109"/>
        <v>15333000</v>
      </c>
      <c r="L1158" s="261">
        <f t="shared" si="112"/>
        <v>0</v>
      </c>
    </row>
    <row r="1159" spans="1:12" ht="45" x14ac:dyDescent="0.25">
      <c r="A1159" s="211"/>
      <c r="B1159" s="17"/>
      <c r="C1159" s="25" t="s">
        <v>715</v>
      </c>
      <c r="D1159" s="34" t="s">
        <v>68</v>
      </c>
      <c r="E1159" s="168" t="s">
        <v>23</v>
      </c>
      <c r="F1159" s="33">
        <f>7.2*4.4</f>
        <v>31.680000000000003</v>
      </c>
      <c r="G1159" s="46">
        <v>213000</v>
      </c>
      <c r="H1159" s="37">
        <v>0.8</v>
      </c>
      <c r="I1159" s="31">
        <v>1.1479999999999999</v>
      </c>
      <c r="J1159" s="223">
        <f t="shared" si="115"/>
        <v>6197000</v>
      </c>
      <c r="K1159" s="39">
        <f t="shared" ref="K1159:K1222" si="116">ROUND(F1159*G1159*H1159*I1159,-3)</f>
        <v>6197000</v>
      </c>
      <c r="L1159" s="261">
        <f t="shared" si="112"/>
        <v>0</v>
      </c>
    </row>
    <row r="1160" spans="1:12" ht="45" x14ac:dyDescent="0.3">
      <c r="A1160" s="69"/>
      <c r="B1160" s="8"/>
      <c r="C1160" s="82" t="s">
        <v>716</v>
      </c>
      <c r="D1160" s="34" t="s">
        <v>52</v>
      </c>
      <c r="E1160" s="71" t="s">
        <v>23</v>
      </c>
      <c r="F1160" s="89">
        <f>4.2*3.5</f>
        <v>14.700000000000001</v>
      </c>
      <c r="G1160" s="11" t="s">
        <v>53</v>
      </c>
      <c r="H1160" s="37">
        <v>0.8</v>
      </c>
      <c r="I1160" s="31">
        <v>1.1479999999999999</v>
      </c>
      <c r="J1160" s="223">
        <f t="shared" si="115"/>
        <v>3186000</v>
      </c>
      <c r="K1160" s="39">
        <f t="shared" si="116"/>
        <v>3186000</v>
      </c>
      <c r="L1160" s="261">
        <f t="shared" si="112"/>
        <v>0</v>
      </c>
    </row>
    <row r="1161" spans="1:12" ht="45" x14ac:dyDescent="0.3">
      <c r="A1161" s="69"/>
      <c r="B1161" s="8"/>
      <c r="C1161" s="82" t="s">
        <v>717</v>
      </c>
      <c r="D1161" s="42" t="s">
        <v>225</v>
      </c>
      <c r="E1161" s="96" t="s">
        <v>91</v>
      </c>
      <c r="F1161" s="89">
        <f>5.6*0.8</f>
        <v>4.4799999999999995</v>
      </c>
      <c r="G1161" s="29">
        <v>527000</v>
      </c>
      <c r="H1161" s="37">
        <v>0.8</v>
      </c>
      <c r="I1161" s="151">
        <v>1.1479999999999999</v>
      </c>
      <c r="J1161" s="223">
        <f t="shared" si="115"/>
        <v>2168000</v>
      </c>
      <c r="K1161" s="39">
        <f t="shared" si="116"/>
        <v>2168000</v>
      </c>
      <c r="L1161" s="261">
        <f t="shared" si="112"/>
        <v>0</v>
      </c>
    </row>
    <row r="1162" spans="1:12" ht="45" x14ac:dyDescent="0.3">
      <c r="A1162" s="69"/>
      <c r="B1162" s="8"/>
      <c r="C1162" s="82" t="s">
        <v>718</v>
      </c>
      <c r="D1162" s="26" t="s">
        <v>24</v>
      </c>
      <c r="E1162" s="84" t="s">
        <v>25</v>
      </c>
      <c r="F1162" s="89">
        <f>4.4*1*0.15</f>
        <v>0.66</v>
      </c>
      <c r="G1162" s="86">
        <v>2828000</v>
      </c>
      <c r="H1162" s="37">
        <v>0.8</v>
      </c>
      <c r="I1162" s="88">
        <v>1.1479999999999999</v>
      </c>
      <c r="J1162" s="223">
        <f t="shared" si="115"/>
        <v>1714000</v>
      </c>
      <c r="K1162" s="39">
        <f t="shared" si="116"/>
        <v>1714000</v>
      </c>
      <c r="L1162" s="261">
        <f t="shared" si="112"/>
        <v>0</v>
      </c>
    </row>
    <row r="1163" spans="1:12" ht="45" x14ac:dyDescent="0.3">
      <c r="A1163" s="69"/>
      <c r="B1163" s="8"/>
      <c r="C1163" s="82" t="s">
        <v>894</v>
      </c>
      <c r="D1163" s="34" t="s">
        <v>66</v>
      </c>
      <c r="E1163" s="27" t="s">
        <v>23</v>
      </c>
      <c r="F1163" s="89">
        <f>13.8*0.8+1.4*2.3+4.4*0.6</f>
        <v>16.900000000000002</v>
      </c>
      <c r="G1163" s="29">
        <v>339000</v>
      </c>
      <c r="H1163" s="37">
        <v>0.8</v>
      </c>
      <c r="I1163" s="31">
        <v>1.1479999999999999</v>
      </c>
      <c r="J1163" s="223">
        <f t="shared" si="115"/>
        <v>5262000</v>
      </c>
      <c r="K1163" s="39">
        <f t="shared" si="116"/>
        <v>5262000</v>
      </c>
      <c r="L1163" s="261">
        <f t="shared" si="112"/>
        <v>0</v>
      </c>
    </row>
    <row r="1164" spans="1:12" ht="75" x14ac:dyDescent="0.3">
      <c r="A1164" s="69"/>
      <c r="B1164" s="8"/>
      <c r="C1164" s="82" t="s">
        <v>719</v>
      </c>
      <c r="D1164" s="34" t="s">
        <v>66</v>
      </c>
      <c r="E1164" s="27" t="s">
        <v>23</v>
      </c>
      <c r="F1164" s="89">
        <f>5*0.8+1*1.05+0.6*0.8+2.7*0.5+0.75*1.2</f>
        <v>7.7799999999999994</v>
      </c>
      <c r="G1164" s="29">
        <v>339000</v>
      </c>
      <c r="H1164" s="37">
        <v>0.8</v>
      </c>
      <c r="I1164" s="31">
        <v>1.1479999999999999</v>
      </c>
      <c r="J1164" s="223">
        <f t="shared" si="115"/>
        <v>2422000</v>
      </c>
      <c r="K1164" s="39">
        <f t="shared" si="116"/>
        <v>2422000</v>
      </c>
      <c r="L1164" s="261">
        <f t="shared" si="112"/>
        <v>0</v>
      </c>
    </row>
    <row r="1165" spans="1:12" ht="45" x14ac:dyDescent="0.3">
      <c r="A1165" s="69"/>
      <c r="B1165" s="8"/>
      <c r="C1165" s="82" t="s">
        <v>720</v>
      </c>
      <c r="D1165" s="44" t="s">
        <v>33</v>
      </c>
      <c r="E1165" s="27" t="s">
        <v>23</v>
      </c>
      <c r="F1165" s="89">
        <f>6.2*0.8</f>
        <v>4.9600000000000009</v>
      </c>
      <c r="G1165" s="29">
        <v>453000</v>
      </c>
      <c r="H1165" s="37">
        <v>0.8</v>
      </c>
      <c r="I1165" s="31">
        <v>1.1479999999999999</v>
      </c>
      <c r="J1165" s="223">
        <f t="shared" si="115"/>
        <v>2064000</v>
      </c>
      <c r="K1165" s="39">
        <f t="shared" si="116"/>
        <v>2064000</v>
      </c>
      <c r="L1165" s="261">
        <f t="shared" si="112"/>
        <v>0</v>
      </c>
    </row>
    <row r="1166" spans="1:12" ht="45" x14ac:dyDescent="0.3">
      <c r="A1166" s="69"/>
      <c r="B1166" s="8"/>
      <c r="C1166" s="82" t="s">
        <v>895</v>
      </c>
      <c r="D1166" s="34" t="s">
        <v>51</v>
      </c>
      <c r="E1166" s="27" t="s">
        <v>23</v>
      </c>
      <c r="F1166" s="89">
        <f>4.4*1.3</f>
        <v>5.7200000000000006</v>
      </c>
      <c r="G1166" s="29">
        <v>453000</v>
      </c>
      <c r="H1166" s="37">
        <v>0.8</v>
      </c>
      <c r="I1166" s="31">
        <v>1.1479999999999999</v>
      </c>
      <c r="J1166" s="223">
        <f t="shared" si="115"/>
        <v>2380000</v>
      </c>
      <c r="K1166" s="39">
        <f t="shared" si="116"/>
        <v>2380000</v>
      </c>
      <c r="L1166" s="261">
        <f t="shared" si="112"/>
        <v>0</v>
      </c>
    </row>
    <row r="1167" spans="1:12" ht="45" x14ac:dyDescent="0.3">
      <c r="A1167" s="69"/>
      <c r="B1167" s="8"/>
      <c r="C1167" s="82" t="s">
        <v>694</v>
      </c>
      <c r="D1167" s="34" t="s">
        <v>97</v>
      </c>
      <c r="E1167" s="71" t="s">
        <v>98</v>
      </c>
      <c r="F1167" s="89">
        <v>1</v>
      </c>
      <c r="G1167" s="36">
        <v>226000</v>
      </c>
      <c r="H1167" s="37">
        <v>0.8</v>
      </c>
      <c r="I1167" s="31">
        <v>1.1479999999999999</v>
      </c>
      <c r="J1167" s="223">
        <f t="shared" si="115"/>
        <v>208000</v>
      </c>
      <c r="K1167" s="39">
        <f t="shared" si="116"/>
        <v>208000</v>
      </c>
      <c r="L1167" s="261">
        <f t="shared" si="112"/>
        <v>0</v>
      </c>
    </row>
    <row r="1168" spans="1:12" x14ac:dyDescent="0.25">
      <c r="A1168" s="211" t="s">
        <v>1557</v>
      </c>
      <c r="B1168" s="17" t="s">
        <v>712</v>
      </c>
      <c r="C1168" s="498" t="s">
        <v>722</v>
      </c>
      <c r="D1168" s="499"/>
      <c r="E1168" s="499"/>
      <c r="F1168" s="499"/>
      <c r="G1168" s="499"/>
      <c r="H1168" s="499"/>
      <c r="I1168" s="500"/>
      <c r="J1168" s="221">
        <f>SUM(J1170:J1185)</f>
        <v>109277000</v>
      </c>
      <c r="K1168" s="39">
        <f t="shared" si="116"/>
        <v>0</v>
      </c>
      <c r="L1168" s="261">
        <f t="shared" si="112"/>
        <v>109277000</v>
      </c>
    </row>
    <row r="1169" spans="1:12" x14ac:dyDescent="0.25">
      <c r="A1169" s="18"/>
      <c r="B1169" s="19"/>
      <c r="C1169" s="483" t="s">
        <v>681</v>
      </c>
      <c r="D1169" s="484"/>
      <c r="E1169" s="484"/>
      <c r="F1169" s="484"/>
      <c r="G1169" s="484"/>
      <c r="H1169" s="484"/>
      <c r="I1169" s="485"/>
      <c r="J1169" s="221"/>
      <c r="K1169" s="39">
        <f t="shared" si="116"/>
        <v>0</v>
      </c>
      <c r="L1169" s="261">
        <f t="shared" si="112"/>
        <v>0</v>
      </c>
    </row>
    <row r="1170" spans="1:12" ht="56.25" x14ac:dyDescent="0.3">
      <c r="A1170" s="69"/>
      <c r="B1170" s="8"/>
      <c r="C1170" s="25" t="s">
        <v>723</v>
      </c>
      <c r="D1170" s="81" t="s">
        <v>435</v>
      </c>
      <c r="E1170" s="27" t="s">
        <v>23</v>
      </c>
      <c r="F1170" s="89">
        <f>3.1*7.2</f>
        <v>22.32</v>
      </c>
      <c r="G1170" s="29">
        <v>3371000</v>
      </c>
      <c r="H1170" s="37">
        <v>0.8</v>
      </c>
      <c r="I1170" s="102">
        <v>1.1479999999999999</v>
      </c>
      <c r="J1170" s="223">
        <f>ROUND(F1170*G1170*H1170*I1170,-3)</f>
        <v>69101000</v>
      </c>
      <c r="K1170" s="39">
        <f t="shared" si="116"/>
        <v>69101000</v>
      </c>
      <c r="L1170" s="261">
        <f t="shared" si="112"/>
        <v>0</v>
      </c>
    </row>
    <row r="1171" spans="1:12" ht="45" x14ac:dyDescent="0.3">
      <c r="A1171" s="69"/>
      <c r="B1171" s="8"/>
      <c r="C1171" s="82" t="s">
        <v>724</v>
      </c>
      <c r="D1171" s="42" t="s">
        <v>225</v>
      </c>
      <c r="E1171" s="96" t="s">
        <v>91</v>
      </c>
      <c r="F1171" s="89">
        <f>3.1*7</f>
        <v>21.7</v>
      </c>
      <c r="G1171" s="29">
        <v>527000</v>
      </c>
      <c r="H1171" s="37">
        <v>0.8</v>
      </c>
      <c r="I1171" s="151">
        <v>1.1479999999999999</v>
      </c>
      <c r="J1171" s="223">
        <f t="shared" ref="J1171:J1185" si="117">ROUND(F1171*G1171*H1171*I1171,-3)</f>
        <v>10503000</v>
      </c>
      <c r="K1171" s="39">
        <f t="shared" si="116"/>
        <v>10503000</v>
      </c>
      <c r="L1171" s="261">
        <f t="shared" si="112"/>
        <v>0</v>
      </c>
    </row>
    <row r="1172" spans="1:12" ht="45" x14ac:dyDescent="0.3">
      <c r="A1172" s="69"/>
      <c r="B1172" s="8"/>
      <c r="C1172" s="82" t="s">
        <v>725</v>
      </c>
      <c r="D1172" s="34" t="s">
        <v>52</v>
      </c>
      <c r="E1172" s="71" t="s">
        <v>23</v>
      </c>
      <c r="F1172" s="89">
        <f>3*6.8</f>
        <v>20.399999999999999</v>
      </c>
      <c r="G1172" s="11" t="s">
        <v>53</v>
      </c>
      <c r="H1172" s="37">
        <v>0.8</v>
      </c>
      <c r="I1172" s="31">
        <v>1.1479999999999999</v>
      </c>
      <c r="J1172" s="223">
        <f t="shared" si="117"/>
        <v>4422000</v>
      </c>
      <c r="K1172" s="39">
        <f t="shared" si="116"/>
        <v>4422000</v>
      </c>
      <c r="L1172" s="261">
        <f t="shared" si="112"/>
        <v>0</v>
      </c>
    </row>
    <row r="1173" spans="1:12" ht="45" x14ac:dyDescent="0.3">
      <c r="A1173" s="69"/>
      <c r="B1173" s="8"/>
      <c r="C1173" s="82" t="s">
        <v>726</v>
      </c>
      <c r="D1173" s="34" t="s">
        <v>68</v>
      </c>
      <c r="E1173" s="168" t="s">
        <v>23</v>
      </c>
      <c r="F1173" s="89">
        <f>3.85*2.4+7*3</f>
        <v>30.240000000000002</v>
      </c>
      <c r="G1173" s="46">
        <v>213000</v>
      </c>
      <c r="H1173" s="37">
        <v>0.8</v>
      </c>
      <c r="I1173" s="31">
        <v>1.1479999999999999</v>
      </c>
      <c r="J1173" s="223">
        <f t="shared" si="117"/>
        <v>5916000</v>
      </c>
      <c r="K1173" s="39">
        <f t="shared" si="116"/>
        <v>5916000</v>
      </c>
      <c r="L1173" s="261">
        <f t="shared" si="112"/>
        <v>0</v>
      </c>
    </row>
    <row r="1174" spans="1:12" ht="45" x14ac:dyDescent="0.3">
      <c r="A1174" s="69"/>
      <c r="B1174" s="8"/>
      <c r="C1174" s="82" t="s">
        <v>727</v>
      </c>
      <c r="D1174" s="26" t="s">
        <v>24</v>
      </c>
      <c r="E1174" s="84" t="s">
        <v>25</v>
      </c>
      <c r="F1174" s="89">
        <f>3.1*1.2*0.15</f>
        <v>0.55799999999999994</v>
      </c>
      <c r="G1174" s="86">
        <v>2828000</v>
      </c>
      <c r="H1174" s="37">
        <v>0.8</v>
      </c>
      <c r="I1174" s="88">
        <v>1.1479999999999999</v>
      </c>
      <c r="J1174" s="223">
        <f t="shared" si="117"/>
        <v>1449000</v>
      </c>
      <c r="K1174" s="39">
        <f t="shared" si="116"/>
        <v>1449000</v>
      </c>
      <c r="L1174" s="261">
        <f t="shared" si="112"/>
        <v>0</v>
      </c>
    </row>
    <row r="1175" spans="1:12" ht="45" x14ac:dyDescent="0.3">
      <c r="A1175" s="69"/>
      <c r="B1175" s="8"/>
      <c r="C1175" s="82" t="s">
        <v>728</v>
      </c>
      <c r="D1175" s="44" t="s">
        <v>33</v>
      </c>
      <c r="E1175" s="27" t="s">
        <v>23</v>
      </c>
      <c r="F1175" s="89">
        <f>5*0.9</f>
        <v>4.5</v>
      </c>
      <c r="G1175" s="29">
        <v>453000</v>
      </c>
      <c r="H1175" s="37">
        <v>0.8</v>
      </c>
      <c r="I1175" s="31">
        <v>1.1479999999999999</v>
      </c>
      <c r="J1175" s="223">
        <f t="shared" si="117"/>
        <v>1872000</v>
      </c>
      <c r="K1175" s="39">
        <f t="shared" si="116"/>
        <v>1872000</v>
      </c>
      <c r="L1175" s="261">
        <f t="shared" si="112"/>
        <v>0</v>
      </c>
    </row>
    <row r="1176" spans="1:12" ht="45" x14ac:dyDescent="0.3">
      <c r="A1176" s="69"/>
      <c r="B1176" s="8"/>
      <c r="C1176" s="82" t="s">
        <v>896</v>
      </c>
      <c r="D1176" s="34" t="s">
        <v>51</v>
      </c>
      <c r="E1176" s="27" t="s">
        <v>23</v>
      </c>
      <c r="F1176" s="89">
        <f>3.1*1.3</f>
        <v>4.03</v>
      </c>
      <c r="G1176" s="29">
        <v>453000</v>
      </c>
      <c r="H1176" s="37">
        <v>0.8</v>
      </c>
      <c r="I1176" s="31">
        <v>1.1479999999999999</v>
      </c>
      <c r="J1176" s="223">
        <f t="shared" si="117"/>
        <v>1677000</v>
      </c>
      <c r="K1176" s="39">
        <f t="shared" si="116"/>
        <v>1677000</v>
      </c>
      <c r="L1176" s="261">
        <f t="shared" si="112"/>
        <v>0</v>
      </c>
    </row>
    <row r="1177" spans="1:12" ht="45" x14ac:dyDescent="0.3">
      <c r="A1177" s="69"/>
      <c r="B1177" s="8"/>
      <c r="C1177" s="82" t="s">
        <v>729</v>
      </c>
      <c r="D1177" s="42" t="s">
        <v>225</v>
      </c>
      <c r="E1177" s="96" t="s">
        <v>91</v>
      </c>
      <c r="F1177" s="89">
        <f>0.7*1.7</f>
        <v>1.19</v>
      </c>
      <c r="G1177" s="29">
        <v>527000</v>
      </c>
      <c r="H1177" s="37">
        <v>0.8</v>
      </c>
      <c r="I1177" s="151">
        <v>1.1479999999999999</v>
      </c>
      <c r="J1177" s="223">
        <f t="shared" si="117"/>
        <v>576000</v>
      </c>
      <c r="K1177" s="39">
        <f t="shared" si="116"/>
        <v>576000</v>
      </c>
      <c r="L1177" s="261">
        <f t="shared" si="112"/>
        <v>0</v>
      </c>
    </row>
    <row r="1178" spans="1:12" ht="45" x14ac:dyDescent="0.3">
      <c r="A1178" s="69"/>
      <c r="B1178" s="8"/>
      <c r="C1178" s="70" t="s">
        <v>730</v>
      </c>
      <c r="D1178" s="34" t="s">
        <v>52</v>
      </c>
      <c r="E1178" s="27" t="s">
        <v>23</v>
      </c>
      <c r="F1178" s="89">
        <f>4.9*2.4</f>
        <v>11.76</v>
      </c>
      <c r="G1178" s="11" t="s">
        <v>53</v>
      </c>
      <c r="H1178" s="37">
        <v>0.8</v>
      </c>
      <c r="I1178" s="78">
        <v>1.1479999999999999</v>
      </c>
      <c r="J1178" s="223">
        <f t="shared" si="117"/>
        <v>2549000</v>
      </c>
      <c r="K1178" s="39">
        <f t="shared" si="116"/>
        <v>2549000</v>
      </c>
      <c r="L1178" s="261">
        <f t="shared" si="112"/>
        <v>0</v>
      </c>
    </row>
    <row r="1179" spans="1:12" ht="45" x14ac:dyDescent="0.3">
      <c r="A1179" s="69"/>
      <c r="B1179" s="8"/>
      <c r="C1179" s="82" t="s">
        <v>731</v>
      </c>
      <c r="D1179" s="34" t="s">
        <v>28</v>
      </c>
      <c r="E1179" s="27" t="s">
        <v>23</v>
      </c>
      <c r="F1179" s="89">
        <f>2.3*0.7</f>
        <v>1.6099999999999999</v>
      </c>
      <c r="G1179" s="11">
        <v>396000</v>
      </c>
      <c r="H1179" s="37">
        <v>0.8</v>
      </c>
      <c r="I1179" s="31">
        <v>1.1479999999999999</v>
      </c>
      <c r="J1179" s="223">
        <f t="shared" si="117"/>
        <v>586000</v>
      </c>
      <c r="K1179" s="39">
        <f t="shared" si="116"/>
        <v>586000</v>
      </c>
      <c r="L1179" s="261">
        <f t="shared" si="112"/>
        <v>0</v>
      </c>
    </row>
    <row r="1180" spans="1:12" ht="45" x14ac:dyDescent="0.3">
      <c r="A1180" s="69"/>
      <c r="B1180" s="8"/>
      <c r="C1180" s="82" t="s">
        <v>897</v>
      </c>
      <c r="D1180" s="34" t="s">
        <v>66</v>
      </c>
      <c r="E1180" s="27" t="s">
        <v>23</v>
      </c>
      <c r="F1180" s="89">
        <f>3.7*1.8+4.8*1.8+13.1*0.15</f>
        <v>17.265000000000001</v>
      </c>
      <c r="G1180" s="29">
        <v>339000</v>
      </c>
      <c r="H1180" s="37">
        <v>0.8</v>
      </c>
      <c r="I1180" s="31">
        <v>1.1479999999999999</v>
      </c>
      <c r="J1180" s="223">
        <f t="shared" si="117"/>
        <v>5375000</v>
      </c>
      <c r="K1180" s="39">
        <f t="shared" si="116"/>
        <v>5375000</v>
      </c>
      <c r="L1180" s="261">
        <f t="shared" si="112"/>
        <v>0</v>
      </c>
    </row>
    <row r="1181" spans="1:12" ht="45" x14ac:dyDescent="0.3">
      <c r="A1181" s="69"/>
      <c r="B1181" s="8"/>
      <c r="C1181" s="82" t="s">
        <v>898</v>
      </c>
      <c r="D1181" s="26" t="s">
        <v>95</v>
      </c>
      <c r="E1181" s="71" t="s">
        <v>25</v>
      </c>
      <c r="F1181" s="89">
        <f>2.9*0.7*0.15</f>
        <v>0.30449999999999994</v>
      </c>
      <c r="G1181" s="11">
        <v>1000000</v>
      </c>
      <c r="H1181" s="37">
        <v>0.8</v>
      </c>
      <c r="I1181" s="31">
        <v>1.1479999999999999</v>
      </c>
      <c r="J1181" s="223">
        <f t="shared" si="117"/>
        <v>280000</v>
      </c>
      <c r="K1181" s="39">
        <f t="shared" si="116"/>
        <v>280000</v>
      </c>
      <c r="L1181" s="261">
        <f t="shared" si="112"/>
        <v>0</v>
      </c>
    </row>
    <row r="1182" spans="1:12" ht="45" x14ac:dyDescent="0.3">
      <c r="A1182" s="69"/>
      <c r="B1182" s="8"/>
      <c r="C1182" s="82" t="s">
        <v>732</v>
      </c>
      <c r="D1182" s="42" t="s">
        <v>32</v>
      </c>
      <c r="E1182" s="27" t="s">
        <v>23</v>
      </c>
      <c r="F1182" s="10">
        <f>5.3*3.1</f>
        <v>16.43</v>
      </c>
      <c r="G1182" s="29">
        <v>215000</v>
      </c>
      <c r="H1182" s="37">
        <v>0.8</v>
      </c>
      <c r="I1182" s="31">
        <v>1.1479999999999999</v>
      </c>
      <c r="J1182" s="223">
        <f t="shared" si="117"/>
        <v>3244000</v>
      </c>
      <c r="K1182" s="39">
        <f t="shared" si="116"/>
        <v>3244000</v>
      </c>
      <c r="L1182" s="261">
        <f t="shared" si="112"/>
        <v>0</v>
      </c>
    </row>
    <row r="1183" spans="1:12" ht="45" x14ac:dyDescent="0.3">
      <c r="A1183" s="69"/>
      <c r="B1183" s="8"/>
      <c r="C1183" s="82" t="s">
        <v>186</v>
      </c>
      <c r="D1183" s="62" t="s">
        <v>44</v>
      </c>
      <c r="E1183" s="63" t="s">
        <v>45</v>
      </c>
      <c r="F1183" s="10">
        <v>7</v>
      </c>
      <c r="G1183" s="65">
        <v>28000</v>
      </c>
      <c r="H1183" s="37">
        <v>0.8</v>
      </c>
      <c r="I1183" s="31">
        <v>1.1479999999999999</v>
      </c>
      <c r="J1183" s="223">
        <f t="shared" si="117"/>
        <v>180000</v>
      </c>
      <c r="K1183" s="39">
        <f t="shared" si="116"/>
        <v>180000</v>
      </c>
      <c r="L1183" s="261">
        <f t="shared" si="112"/>
        <v>0</v>
      </c>
    </row>
    <row r="1184" spans="1:12" ht="45" x14ac:dyDescent="0.3">
      <c r="A1184" s="104"/>
      <c r="B1184" s="105"/>
      <c r="C1184" s="113" t="s">
        <v>187</v>
      </c>
      <c r="D1184" s="42" t="s">
        <v>47</v>
      </c>
      <c r="E1184" s="63" t="s">
        <v>45</v>
      </c>
      <c r="F1184" s="205">
        <v>7</v>
      </c>
      <c r="G1184" s="46">
        <v>28000</v>
      </c>
      <c r="H1184" s="37">
        <v>0.8</v>
      </c>
      <c r="I1184" s="31">
        <v>1.1479999999999999</v>
      </c>
      <c r="J1184" s="223">
        <f t="shared" si="117"/>
        <v>180000</v>
      </c>
      <c r="K1184" s="39">
        <f t="shared" si="116"/>
        <v>180000</v>
      </c>
      <c r="L1184" s="261">
        <f t="shared" si="112"/>
        <v>0</v>
      </c>
    </row>
    <row r="1185" spans="1:12" ht="45" x14ac:dyDescent="0.3">
      <c r="A1185" s="69"/>
      <c r="B1185" s="8"/>
      <c r="C1185" s="82" t="s">
        <v>899</v>
      </c>
      <c r="D1185" s="34" t="s">
        <v>66</v>
      </c>
      <c r="E1185" s="27" t="s">
        <v>23</v>
      </c>
      <c r="F1185" s="205">
        <f>2.3*1.1+3.1*0.6</f>
        <v>4.3899999999999997</v>
      </c>
      <c r="G1185" s="29">
        <v>339000</v>
      </c>
      <c r="H1185" s="37">
        <v>0.8</v>
      </c>
      <c r="I1185" s="31">
        <v>1.1479999999999999</v>
      </c>
      <c r="J1185" s="223">
        <f t="shared" si="117"/>
        <v>1367000</v>
      </c>
      <c r="K1185" s="39">
        <f t="shared" si="116"/>
        <v>1367000</v>
      </c>
      <c r="L1185" s="261">
        <f t="shared" si="112"/>
        <v>0</v>
      </c>
    </row>
    <row r="1186" spans="1:12" x14ac:dyDescent="0.25">
      <c r="A1186" s="211" t="s">
        <v>1558</v>
      </c>
      <c r="B1186" s="17" t="s">
        <v>721</v>
      </c>
      <c r="C1186" s="433" t="s">
        <v>734</v>
      </c>
      <c r="D1186" s="434"/>
      <c r="E1186" s="434"/>
      <c r="F1186" s="434"/>
      <c r="G1186" s="434"/>
      <c r="H1186" s="434"/>
      <c r="I1186" s="435"/>
      <c r="J1186" s="221">
        <f>SUM(J1188:J1199)</f>
        <v>111661000</v>
      </c>
      <c r="K1186" s="39">
        <f t="shared" si="116"/>
        <v>0</v>
      </c>
      <c r="L1186" s="261">
        <f t="shared" si="112"/>
        <v>111661000</v>
      </c>
    </row>
    <row r="1187" spans="1:12" x14ac:dyDescent="0.25">
      <c r="A1187" s="18"/>
      <c r="B1187" s="19"/>
      <c r="C1187" s="483" t="s">
        <v>681</v>
      </c>
      <c r="D1187" s="484"/>
      <c r="E1187" s="484"/>
      <c r="F1187" s="484"/>
      <c r="G1187" s="484"/>
      <c r="H1187" s="484"/>
      <c r="I1187" s="485"/>
      <c r="J1187" s="221"/>
      <c r="K1187" s="39">
        <f t="shared" si="116"/>
        <v>0</v>
      </c>
      <c r="L1187" s="261">
        <f t="shared" si="112"/>
        <v>0</v>
      </c>
    </row>
    <row r="1188" spans="1:12" ht="75" x14ac:dyDescent="0.3">
      <c r="A1188" s="69"/>
      <c r="B1188" s="8"/>
      <c r="C1188" s="82" t="s">
        <v>735</v>
      </c>
      <c r="D1188" s="81" t="s">
        <v>435</v>
      </c>
      <c r="E1188" s="27" t="s">
        <v>23</v>
      </c>
      <c r="F1188" s="89">
        <f>3.25*7.2</f>
        <v>23.400000000000002</v>
      </c>
      <c r="G1188" s="29">
        <v>3371000</v>
      </c>
      <c r="H1188" s="37">
        <v>0.8</v>
      </c>
      <c r="I1188" s="102">
        <v>1.1479999999999999</v>
      </c>
      <c r="J1188" s="223">
        <f>ROUND(F1188*G1188*H1188*I1188,-3)</f>
        <v>72445000</v>
      </c>
      <c r="K1188" s="39">
        <f t="shared" si="116"/>
        <v>72445000</v>
      </c>
      <c r="L1188" s="261">
        <f t="shared" si="112"/>
        <v>0</v>
      </c>
    </row>
    <row r="1189" spans="1:12" ht="45" x14ac:dyDescent="0.3">
      <c r="A1189" s="69"/>
      <c r="B1189" s="8"/>
      <c r="C1189" s="83" t="s">
        <v>736</v>
      </c>
      <c r="D1189" s="42" t="s">
        <v>225</v>
      </c>
      <c r="E1189" s="96" t="s">
        <v>91</v>
      </c>
      <c r="F1189" s="85">
        <f>3.25*7.2</f>
        <v>23.400000000000002</v>
      </c>
      <c r="G1189" s="29">
        <v>527000</v>
      </c>
      <c r="H1189" s="37">
        <v>0.8</v>
      </c>
      <c r="I1189" s="151">
        <v>1.1479999999999999</v>
      </c>
      <c r="J1189" s="223">
        <f t="shared" ref="J1189:J1199" si="118">ROUND(F1189*G1189*H1189*I1189,-3)</f>
        <v>11326000</v>
      </c>
      <c r="K1189" s="39">
        <f t="shared" si="116"/>
        <v>11326000</v>
      </c>
      <c r="L1189" s="261">
        <f t="shared" si="112"/>
        <v>0</v>
      </c>
    </row>
    <row r="1190" spans="1:12" ht="45" x14ac:dyDescent="0.3">
      <c r="A1190" s="69"/>
      <c r="B1190" s="8"/>
      <c r="C1190" s="82" t="s">
        <v>737</v>
      </c>
      <c r="D1190" s="34" t="s">
        <v>68</v>
      </c>
      <c r="E1190" s="168" t="s">
        <v>23</v>
      </c>
      <c r="F1190" s="89">
        <f>(3*7)*2</f>
        <v>42</v>
      </c>
      <c r="G1190" s="46">
        <v>213000</v>
      </c>
      <c r="H1190" s="37">
        <v>0.8</v>
      </c>
      <c r="I1190" s="31">
        <v>1.1479999999999999</v>
      </c>
      <c r="J1190" s="223">
        <f t="shared" si="118"/>
        <v>8216000</v>
      </c>
      <c r="K1190" s="39">
        <f t="shared" si="116"/>
        <v>8216000</v>
      </c>
      <c r="L1190" s="261">
        <f t="shared" si="112"/>
        <v>0</v>
      </c>
    </row>
    <row r="1191" spans="1:12" ht="45" x14ac:dyDescent="0.3">
      <c r="A1191" s="69"/>
      <c r="B1191" s="8"/>
      <c r="C1191" s="82" t="s">
        <v>900</v>
      </c>
      <c r="D1191" s="34" t="s">
        <v>51</v>
      </c>
      <c r="E1191" s="27" t="s">
        <v>23</v>
      </c>
      <c r="F1191" s="89">
        <f>3.3*1.3</f>
        <v>4.29</v>
      </c>
      <c r="G1191" s="29">
        <v>453000</v>
      </c>
      <c r="H1191" s="37">
        <v>0.8</v>
      </c>
      <c r="I1191" s="31">
        <v>1.1479999999999999</v>
      </c>
      <c r="J1191" s="223">
        <f t="shared" si="118"/>
        <v>1785000</v>
      </c>
      <c r="K1191" s="39">
        <f t="shared" si="116"/>
        <v>1785000</v>
      </c>
      <c r="L1191" s="261">
        <f t="shared" si="112"/>
        <v>0</v>
      </c>
    </row>
    <row r="1192" spans="1:12" ht="45" x14ac:dyDescent="0.3">
      <c r="A1192" s="69"/>
      <c r="B1192" s="8"/>
      <c r="C1192" s="82" t="s">
        <v>738</v>
      </c>
      <c r="D1192" s="26" t="s">
        <v>24</v>
      </c>
      <c r="E1192" s="84" t="s">
        <v>25</v>
      </c>
      <c r="F1192" s="89">
        <f>3.25*1*0.15</f>
        <v>0.48749999999999999</v>
      </c>
      <c r="G1192" s="86">
        <v>2828000</v>
      </c>
      <c r="H1192" s="37">
        <v>0.8</v>
      </c>
      <c r="I1192" s="88">
        <v>1.1479999999999999</v>
      </c>
      <c r="J1192" s="223">
        <f t="shared" si="118"/>
        <v>1266000</v>
      </c>
      <c r="K1192" s="39">
        <f t="shared" si="116"/>
        <v>1266000</v>
      </c>
      <c r="L1192" s="261">
        <f t="shared" si="112"/>
        <v>0</v>
      </c>
    </row>
    <row r="1193" spans="1:12" ht="45" x14ac:dyDescent="0.3">
      <c r="A1193" s="69"/>
      <c r="B1193" s="8"/>
      <c r="C1193" s="82" t="s">
        <v>739</v>
      </c>
      <c r="D1193" s="34" t="s">
        <v>66</v>
      </c>
      <c r="E1193" s="27" t="s">
        <v>23</v>
      </c>
      <c r="F1193" s="89">
        <f>1.2*2.2+3.25*0.6+12.7*0.8+2.3*1.6</f>
        <v>18.43</v>
      </c>
      <c r="G1193" s="29">
        <v>339000</v>
      </c>
      <c r="H1193" s="37">
        <v>0.8</v>
      </c>
      <c r="I1193" s="31">
        <v>1.1479999999999999</v>
      </c>
      <c r="J1193" s="223">
        <f t="shared" si="118"/>
        <v>5738000</v>
      </c>
      <c r="K1193" s="39">
        <f t="shared" si="116"/>
        <v>5738000</v>
      </c>
      <c r="L1193" s="261">
        <f t="shared" si="112"/>
        <v>0</v>
      </c>
    </row>
    <row r="1194" spans="1:12" ht="45" x14ac:dyDescent="0.3">
      <c r="A1194" s="69"/>
      <c r="B1194" s="8"/>
      <c r="C1194" s="82" t="s">
        <v>901</v>
      </c>
      <c r="D1194" s="34" t="s">
        <v>66</v>
      </c>
      <c r="E1194" s="27" t="s">
        <v>23</v>
      </c>
      <c r="F1194" s="89">
        <f>4.1*1.7+1.5*1.7+3*2.8</f>
        <v>17.919999999999998</v>
      </c>
      <c r="G1194" s="29">
        <v>339000</v>
      </c>
      <c r="H1194" s="37">
        <v>0.8</v>
      </c>
      <c r="I1194" s="31">
        <v>1.1479999999999999</v>
      </c>
      <c r="J1194" s="223">
        <f t="shared" si="118"/>
        <v>5579000</v>
      </c>
      <c r="K1194" s="39">
        <f t="shared" si="116"/>
        <v>5579000</v>
      </c>
      <c r="L1194" s="261">
        <f t="shared" si="112"/>
        <v>0</v>
      </c>
    </row>
    <row r="1195" spans="1:12" ht="45" x14ac:dyDescent="0.3">
      <c r="A1195" s="69"/>
      <c r="B1195" s="8"/>
      <c r="C1195" s="82" t="s">
        <v>186</v>
      </c>
      <c r="D1195" s="62" t="s">
        <v>44</v>
      </c>
      <c r="E1195" s="63" t="s">
        <v>45</v>
      </c>
      <c r="F1195" s="89">
        <v>7</v>
      </c>
      <c r="G1195" s="65">
        <v>28000</v>
      </c>
      <c r="H1195" s="37">
        <v>0.8</v>
      </c>
      <c r="I1195" s="31">
        <v>1.1479999999999999</v>
      </c>
      <c r="J1195" s="223">
        <f t="shared" si="118"/>
        <v>180000</v>
      </c>
      <c r="K1195" s="39">
        <f t="shared" si="116"/>
        <v>180000</v>
      </c>
      <c r="L1195" s="261">
        <f t="shared" si="112"/>
        <v>0</v>
      </c>
    </row>
    <row r="1196" spans="1:12" ht="45" x14ac:dyDescent="0.3">
      <c r="A1196" s="69"/>
      <c r="B1196" s="8"/>
      <c r="C1196" s="82" t="s">
        <v>187</v>
      </c>
      <c r="D1196" s="42" t="s">
        <v>47</v>
      </c>
      <c r="E1196" s="63" t="s">
        <v>45</v>
      </c>
      <c r="F1196" s="89">
        <v>7</v>
      </c>
      <c r="G1196" s="46">
        <v>28000</v>
      </c>
      <c r="H1196" s="37">
        <v>0.8</v>
      </c>
      <c r="I1196" s="31">
        <v>1.1479999999999999</v>
      </c>
      <c r="J1196" s="223">
        <f t="shared" si="118"/>
        <v>180000</v>
      </c>
      <c r="K1196" s="39">
        <f t="shared" si="116"/>
        <v>180000</v>
      </c>
      <c r="L1196" s="261">
        <f t="shared" si="112"/>
        <v>0</v>
      </c>
    </row>
    <row r="1197" spans="1:12" ht="45" x14ac:dyDescent="0.3">
      <c r="A1197" s="69"/>
      <c r="B1197" s="8"/>
      <c r="C1197" s="82" t="s">
        <v>740</v>
      </c>
      <c r="D1197" s="42" t="s">
        <v>32</v>
      </c>
      <c r="E1197" s="27" t="s">
        <v>23</v>
      </c>
      <c r="F1197" s="89">
        <f>4.6*3.25</f>
        <v>14.95</v>
      </c>
      <c r="G1197" s="29">
        <v>215000</v>
      </c>
      <c r="H1197" s="37">
        <v>0.8</v>
      </c>
      <c r="I1197" s="31">
        <v>1.1479999999999999</v>
      </c>
      <c r="J1197" s="223">
        <f t="shared" si="118"/>
        <v>2952000</v>
      </c>
      <c r="K1197" s="39">
        <f t="shared" si="116"/>
        <v>2952000</v>
      </c>
      <c r="L1197" s="261">
        <f t="shared" si="112"/>
        <v>0</v>
      </c>
    </row>
    <row r="1198" spans="1:12" ht="45" x14ac:dyDescent="0.3">
      <c r="A1198" s="69"/>
      <c r="B1198" s="8"/>
      <c r="C1198" s="82" t="s">
        <v>741</v>
      </c>
      <c r="D1198" s="44" t="s">
        <v>33</v>
      </c>
      <c r="E1198" s="27" t="s">
        <v>23</v>
      </c>
      <c r="F1198" s="89">
        <f>5.05*0.8</f>
        <v>4.04</v>
      </c>
      <c r="G1198" s="29">
        <v>453000</v>
      </c>
      <c r="H1198" s="37">
        <v>0.8</v>
      </c>
      <c r="I1198" s="31">
        <v>1.1479999999999999</v>
      </c>
      <c r="J1198" s="223">
        <f t="shared" si="118"/>
        <v>1681000</v>
      </c>
      <c r="K1198" s="39">
        <f t="shared" si="116"/>
        <v>1681000</v>
      </c>
      <c r="L1198" s="261">
        <f t="shared" si="112"/>
        <v>0</v>
      </c>
    </row>
    <row r="1199" spans="1:12" ht="45" x14ac:dyDescent="0.3">
      <c r="A1199" s="69"/>
      <c r="B1199" s="8"/>
      <c r="C1199" s="82" t="s">
        <v>902</v>
      </c>
      <c r="D1199" s="26" t="s">
        <v>95</v>
      </c>
      <c r="E1199" s="71" t="s">
        <v>25</v>
      </c>
      <c r="F1199" s="89">
        <f>3.25*0.7*0.15</f>
        <v>0.34125</v>
      </c>
      <c r="G1199" s="11">
        <v>1000000</v>
      </c>
      <c r="H1199" s="37">
        <v>0.8</v>
      </c>
      <c r="I1199" s="31">
        <v>1.1479999999999999</v>
      </c>
      <c r="J1199" s="223">
        <f t="shared" si="118"/>
        <v>313000</v>
      </c>
      <c r="K1199" s="39">
        <f t="shared" si="116"/>
        <v>313000</v>
      </c>
      <c r="L1199" s="261">
        <f t="shared" si="112"/>
        <v>0</v>
      </c>
    </row>
    <row r="1200" spans="1:12" x14ac:dyDescent="0.25">
      <c r="A1200" s="67" t="s">
        <v>1559</v>
      </c>
      <c r="B1200" s="68" t="s">
        <v>733</v>
      </c>
      <c r="C1200" s="433" t="s">
        <v>1262</v>
      </c>
      <c r="D1200" s="434"/>
      <c r="E1200" s="434"/>
      <c r="F1200" s="434"/>
      <c r="G1200" s="434"/>
      <c r="H1200" s="434"/>
      <c r="I1200" s="435"/>
      <c r="J1200" s="221">
        <f>SUM(J1202:J1216)</f>
        <v>129174000</v>
      </c>
      <c r="K1200" s="39">
        <f t="shared" si="116"/>
        <v>0</v>
      </c>
      <c r="L1200" s="261">
        <f t="shared" si="112"/>
        <v>129174000</v>
      </c>
    </row>
    <row r="1201" spans="1:12" x14ac:dyDescent="0.25">
      <c r="A1201" s="18"/>
      <c r="B1201" s="19"/>
      <c r="C1201" s="483" t="s">
        <v>681</v>
      </c>
      <c r="D1201" s="484"/>
      <c r="E1201" s="484"/>
      <c r="F1201" s="484"/>
      <c r="G1201" s="484"/>
      <c r="H1201" s="484"/>
      <c r="I1201" s="485"/>
      <c r="J1201" s="221"/>
      <c r="K1201" s="39">
        <f t="shared" si="116"/>
        <v>0</v>
      </c>
      <c r="L1201" s="261">
        <f t="shared" si="112"/>
        <v>0</v>
      </c>
    </row>
    <row r="1202" spans="1:12" ht="75" x14ac:dyDescent="0.3">
      <c r="A1202" s="69"/>
      <c r="B1202" s="8"/>
      <c r="C1202" s="82" t="s">
        <v>742</v>
      </c>
      <c r="D1202" s="81" t="s">
        <v>435</v>
      </c>
      <c r="E1202" s="27" t="s">
        <v>23</v>
      </c>
      <c r="F1202" s="89">
        <f>3.2*7.2</f>
        <v>23.040000000000003</v>
      </c>
      <c r="G1202" s="29">
        <v>3371000</v>
      </c>
      <c r="H1202" s="37">
        <v>0.8</v>
      </c>
      <c r="I1202" s="102">
        <v>1.1479999999999999</v>
      </c>
      <c r="J1202" s="223">
        <f>ROUND(F1202*G1202*H1202*I1202,-3)</f>
        <v>71330000</v>
      </c>
      <c r="K1202" s="39">
        <f t="shared" si="116"/>
        <v>71330000</v>
      </c>
      <c r="L1202" s="261">
        <f t="shared" si="112"/>
        <v>0</v>
      </c>
    </row>
    <row r="1203" spans="1:12" ht="45" x14ac:dyDescent="0.3">
      <c r="A1203" s="69"/>
      <c r="B1203" s="8"/>
      <c r="C1203" s="82" t="s">
        <v>743</v>
      </c>
      <c r="D1203" s="42" t="s">
        <v>225</v>
      </c>
      <c r="E1203" s="96" t="s">
        <v>91</v>
      </c>
      <c r="F1203" s="89">
        <f>3.2*7.2</f>
        <v>23.040000000000003</v>
      </c>
      <c r="G1203" s="29">
        <v>527000</v>
      </c>
      <c r="H1203" s="37">
        <v>0.8</v>
      </c>
      <c r="I1203" s="151">
        <v>1.1479999999999999</v>
      </c>
      <c r="J1203" s="223">
        <f t="shared" ref="J1203:J1213" si="119">ROUND(F1203*G1203*H1203*I1203,-3)</f>
        <v>11151000</v>
      </c>
      <c r="K1203" s="39">
        <f t="shared" si="116"/>
        <v>11151000</v>
      </c>
      <c r="L1203" s="261">
        <f t="shared" si="112"/>
        <v>0</v>
      </c>
    </row>
    <row r="1204" spans="1:12" ht="45" x14ac:dyDescent="0.3">
      <c r="A1204" s="69"/>
      <c r="B1204" s="8"/>
      <c r="C1204" s="82" t="s">
        <v>903</v>
      </c>
      <c r="D1204" s="26" t="s">
        <v>24</v>
      </c>
      <c r="E1204" s="84" t="s">
        <v>25</v>
      </c>
      <c r="F1204" s="89">
        <f>11.2*1*0.15+3.2*7.2*0.1</f>
        <v>3.984</v>
      </c>
      <c r="G1204" s="86">
        <v>2828000</v>
      </c>
      <c r="H1204" s="37">
        <v>0.8</v>
      </c>
      <c r="I1204" s="88">
        <v>1.1479999999999999</v>
      </c>
      <c r="J1204" s="223">
        <f t="shared" si="119"/>
        <v>10347000</v>
      </c>
      <c r="K1204" s="39">
        <f t="shared" si="116"/>
        <v>10347000</v>
      </c>
      <c r="L1204" s="261">
        <f t="shared" ref="L1204:L1267" si="120">J1204-K1204</f>
        <v>0</v>
      </c>
    </row>
    <row r="1205" spans="1:12" ht="45" x14ac:dyDescent="0.3">
      <c r="A1205" s="69"/>
      <c r="B1205" s="8"/>
      <c r="C1205" s="82" t="s">
        <v>744</v>
      </c>
      <c r="D1205" s="34" t="s">
        <v>68</v>
      </c>
      <c r="E1205" s="168" t="s">
        <v>23</v>
      </c>
      <c r="F1205" s="89">
        <f>(7*3.05)*2</f>
        <v>42.699999999999996</v>
      </c>
      <c r="G1205" s="46">
        <v>213000</v>
      </c>
      <c r="H1205" s="37">
        <v>0.8</v>
      </c>
      <c r="I1205" s="31">
        <v>1.1479999999999999</v>
      </c>
      <c r="J1205" s="223">
        <f t="shared" si="119"/>
        <v>8353000</v>
      </c>
      <c r="K1205" s="39">
        <f t="shared" si="116"/>
        <v>8353000</v>
      </c>
      <c r="L1205" s="261">
        <f t="shared" si="120"/>
        <v>0</v>
      </c>
    </row>
    <row r="1206" spans="1:12" ht="45" x14ac:dyDescent="0.3">
      <c r="A1206" s="93"/>
      <c r="B1206" s="94"/>
      <c r="C1206" s="70" t="s">
        <v>745</v>
      </c>
      <c r="D1206" s="34" t="s">
        <v>101</v>
      </c>
      <c r="E1206" s="71" t="s">
        <v>23</v>
      </c>
      <c r="F1206" s="99">
        <f>11.2*0.8</f>
        <v>8.9599999999999991</v>
      </c>
      <c r="G1206" s="29">
        <v>339000</v>
      </c>
      <c r="H1206" s="37">
        <v>0.8</v>
      </c>
      <c r="I1206" s="31">
        <v>1.1479999999999999</v>
      </c>
      <c r="J1206" s="223">
        <f t="shared" si="119"/>
        <v>2790000</v>
      </c>
      <c r="K1206" s="39">
        <f t="shared" si="116"/>
        <v>2790000</v>
      </c>
      <c r="L1206" s="261">
        <f t="shared" si="120"/>
        <v>0</v>
      </c>
    </row>
    <row r="1207" spans="1:12" ht="45" x14ac:dyDescent="0.3">
      <c r="A1207" s="69"/>
      <c r="B1207" s="8"/>
      <c r="C1207" s="83" t="s">
        <v>746</v>
      </c>
      <c r="D1207" s="44" t="s">
        <v>33</v>
      </c>
      <c r="E1207" s="27" t="s">
        <v>23</v>
      </c>
      <c r="F1207" s="206">
        <f>12.5*0.8</f>
        <v>10</v>
      </c>
      <c r="G1207" s="29">
        <v>453000</v>
      </c>
      <c r="H1207" s="37">
        <v>0.8</v>
      </c>
      <c r="I1207" s="31">
        <v>1.1479999999999999</v>
      </c>
      <c r="J1207" s="223">
        <f t="shared" si="119"/>
        <v>4160000</v>
      </c>
      <c r="K1207" s="39">
        <f t="shared" si="116"/>
        <v>4160000</v>
      </c>
      <c r="L1207" s="261">
        <f t="shared" si="120"/>
        <v>0</v>
      </c>
    </row>
    <row r="1208" spans="1:12" ht="45" x14ac:dyDescent="0.3">
      <c r="A1208" s="104"/>
      <c r="B1208" s="105"/>
      <c r="C1208" s="82" t="s">
        <v>904</v>
      </c>
      <c r="D1208" s="34" t="s">
        <v>51</v>
      </c>
      <c r="E1208" s="27" t="s">
        <v>23</v>
      </c>
      <c r="F1208" s="89">
        <f>1.3*11.2</f>
        <v>14.559999999999999</v>
      </c>
      <c r="G1208" s="29">
        <v>453000</v>
      </c>
      <c r="H1208" s="37">
        <v>0.8</v>
      </c>
      <c r="I1208" s="31">
        <v>1.1479999999999999</v>
      </c>
      <c r="J1208" s="223">
        <f t="shared" si="119"/>
        <v>6057000</v>
      </c>
      <c r="K1208" s="39">
        <f t="shared" si="116"/>
        <v>6057000</v>
      </c>
      <c r="L1208" s="261">
        <f t="shared" si="120"/>
        <v>0</v>
      </c>
    </row>
    <row r="1209" spans="1:12" ht="45" x14ac:dyDescent="0.3">
      <c r="A1209" s="69"/>
      <c r="B1209" s="8"/>
      <c r="C1209" s="106" t="s">
        <v>747</v>
      </c>
      <c r="D1209" s="34" t="s">
        <v>66</v>
      </c>
      <c r="E1209" s="27" t="s">
        <v>23</v>
      </c>
      <c r="F1209" s="207">
        <f>10.6*0.15+10.4*0.15+1.4*2.2</f>
        <v>6.23</v>
      </c>
      <c r="G1209" s="29">
        <v>339000</v>
      </c>
      <c r="H1209" s="37">
        <v>0.8</v>
      </c>
      <c r="I1209" s="31">
        <v>1.1479999999999999</v>
      </c>
      <c r="J1209" s="223">
        <f t="shared" si="119"/>
        <v>1940000</v>
      </c>
      <c r="K1209" s="39">
        <f t="shared" si="116"/>
        <v>1940000</v>
      </c>
      <c r="L1209" s="261">
        <f t="shared" si="120"/>
        <v>0</v>
      </c>
    </row>
    <row r="1210" spans="1:12" ht="45" x14ac:dyDescent="0.3">
      <c r="A1210" s="69"/>
      <c r="B1210" s="8"/>
      <c r="C1210" s="82" t="s">
        <v>748</v>
      </c>
      <c r="D1210" s="42" t="s">
        <v>54</v>
      </c>
      <c r="E1210" s="27" t="s">
        <v>23</v>
      </c>
      <c r="F1210" s="89">
        <f>3.5*2.6</f>
        <v>9.1</v>
      </c>
      <c r="G1210" s="46">
        <v>213000</v>
      </c>
      <c r="H1210" s="37">
        <v>0.8</v>
      </c>
      <c r="I1210" s="57">
        <v>1.1479999999999999</v>
      </c>
      <c r="J1210" s="223">
        <f t="shared" si="119"/>
        <v>1780000</v>
      </c>
      <c r="K1210" s="39">
        <f t="shared" si="116"/>
        <v>1780000</v>
      </c>
      <c r="L1210" s="261">
        <f t="shared" si="120"/>
        <v>0</v>
      </c>
    </row>
    <row r="1211" spans="1:12" ht="56.25" x14ac:dyDescent="0.3">
      <c r="A1211" s="107"/>
      <c r="B1211" s="84"/>
      <c r="C1211" s="106" t="s">
        <v>749</v>
      </c>
      <c r="D1211" s="34" t="s">
        <v>66</v>
      </c>
      <c r="E1211" s="27" t="s">
        <v>23</v>
      </c>
      <c r="F1211" s="206">
        <f>4.7*1.9+(2.5*0.3)*3+1.2*1.9+1.4*2.5</f>
        <v>16.96</v>
      </c>
      <c r="G1211" s="29">
        <v>339000</v>
      </c>
      <c r="H1211" s="37">
        <v>0.8</v>
      </c>
      <c r="I1211" s="31">
        <v>1.1479999999999999</v>
      </c>
      <c r="J1211" s="223">
        <f t="shared" si="119"/>
        <v>5280000</v>
      </c>
      <c r="K1211" s="39">
        <f t="shared" si="116"/>
        <v>5280000</v>
      </c>
      <c r="L1211" s="261">
        <f t="shared" si="120"/>
        <v>0</v>
      </c>
    </row>
    <row r="1212" spans="1:12" ht="45" x14ac:dyDescent="0.3">
      <c r="A1212" s="69"/>
      <c r="B1212" s="8"/>
      <c r="C1212" s="82" t="s">
        <v>750</v>
      </c>
      <c r="D1212" s="34" t="s">
        <v>66</v>
      </c>
      <c r="E1212" s="27" t="s">
        <v>23</v>
      </c>
      <c r="F1212" s="89">
        <f>0.6*3.25+1.1*1.4+(1.1*0.6)*6</f>
        <v>7.45</v>
      </c>
      <c r="G1212" s="29">
        <v>339000</v>
      </c>
      <c r="H1212" s="37">
        <v>0.8</v>
      </c>
      <c r="I1212" s="31">
        <v>1.1479999999999999</v>
      </c>
      <c r="J1212" s="223">
        <f t="shared" si="119"/>
        <v>2319000</v>
      </c>
      <c r="K1212" s="39">
        <f t="shared" si="116"/>
        <v>2319000</v>
      </c>
      <c r="L1212" s="261">
        <f t="shared" si="120"/>
        <v>0</v>
      </c>
    </row>
    <row r="1213" spans="1:12" ht="45" x14ac:dyDescent="0.3">
      <c r="A1213" s="69"/>
      <c r="B1213" s="8"/>
      <c r="C1213" s="82" t="s">
        <v>751</v>
      </c>
      <c r="D1213" s="42" t="s">
        <v>32</v>
      </c>
      <c r="E1213" s="27" t="s">
        <v>23</v>
      </c>
      <c r="F1213" s="89">
        <f>3.2*5.2</f>
        <v>16.64</v>
      </c>
      <c r="G1213" s="29">
        <v>215000</v>
      </c>
      <c r="H1213" s="37">
        <v>0.8</v>
      </c>
      <c r="I1213" s="31">
        <v>1.1479999999999999</v>
      </c>
      <c r="J1213" s="223">
        <f t="shared" si="119"/>
        <v>3286000</v>
      </c>
      <c r="K1213" s="39">
        <f t="shared" si="116"/>
        <v>3286000</v>
      </c>
      <c r="L1213" s="261">
        <f t="shared" si="120"/>
        <v>0</v>
      </c>
    </row>
    <row r="1214" spans="1:12" ht="30" x14ac:dyDescent="0.3">
      <c r="A1214" s="69"/>
      <c r="B1214" s="8"/>
      <c r="C1214" s="82" t="s">
        <v>752</v>
      </c>
      <c r="D1214" s="97" t="s">
        <v>92</v>
      </c>
      <c r="E1214" s="27" t="s">
        <v>35</v>
      </c>
      <c r="F1214" s="89">
        <v>1</v>
      </c>
      <c r="G1214" s="29">
        <v>21300</v>
      </c>
      <c r="H1214" s="37">
        <v>1</v>
      </c>
      <c r="I1214" s="51">
        <v>1</v>
      </c>
      <c r="J1214" s="223">
        <f>ROUND(F1214*G1214*H1214*I1214,-3)</f>
        <v>21000</v>
      </c>
      <c r="K1214" s="39">
        <f t="shared" si="116"/>
        <v>21000</v>
      </c>
      <c r="L1214" s="261">
        <f t="shared" si="120"/>
        <v>0</v>
      </c>
    </row>
    <row r="1215" spans="1:12" ht="45" x14ac:dyDescent="0.3">
      <c r="A1215" s="69"/>
      <c r="B1215" s="8"/>
      <c r="C1215" s="82" t="s">
        <v>186</v>
      </c>
      <c r="D1215" s="62" t="s">
        <v>44</v>
      </c>
      <c r="E1215" s="63" t="s">
        <v>45</v>
      </c>
      <c r="F1215" s="89">
        <v>7</v>
      </c>
      <c r="G1215" s="65">
        <v>28000</v>
      </c>
      <c r="H1215" s="37">
        <v>0.8</v>
      </c>
      <c r="I1215" s="31">
        <v>1.1479999999999999</v>
      </c>
      <c r="J1215" s="223">
        <f>ROUND(F1215*G1215*H1215*I1215,-3)</f>
        <v>180000</v>
      </c>
      <c r="K1215" s="39">
        <f t="shared" si="116"/>
        <v>180000</v>
      </c>
      <c r="L1215" s="261">
        <f t="shared" si="120"/>
        <v>0</v>
      </c>
    </row>
    <row r="1216" spans="1:12" ht="45" x14ac:dyDescent="0.3">
      <c r="A1216" s="69"/>
      <c r="B1216" s="8"/>
      <c r="C1216" s="82" t="s">
        <v>187</v>
      </c>
      <c r="D1216" s="42" t="s">
        <v>47</v>
      </c>
      <c r="E1216" s="63" t="s">
        <v>45</v>
      </c>
      <c r="F1216" s="89">
        <v>7</v>
      </c>
      <c r="G1216" s="46">
        <v>28000</v>
      </c>
      <c r="H1216" s="37">
        <v>0.8</v>
      </c>
      <c r="I1216" s="31">
        <v>1.1479999999999999</v>
      </c>
      <c r="J1216" s="223">
        <f>ROUND(F1216*G1216*H1216*I1216,-3)</f>
        <v>180000</v>
      </c>
      <c r="K1216" s="39">
        <f t="shared" si="116"/>
        <v>180000</v>
      </c>
      <c r="L1216" s="261">
        <f t="shared" si="120"/>
        <v>0</v>
      </c>
    </row>
    <row r="1217" spans="1:13" ht="75" customHeight="1" x14ac:dyDescent="0.25">
      <c r="A1217" s="108">
        <v>74</v>
      </c>
      <c r="B1217" s="109" t="s">
        <v>16</v>
      </c>
      <c r="C1217" s="455" t="s">
        <v>753</v>
      </c>
      <c r="D1217" s="456"/>
      <c r="E1217" s="456"/>
      <c r="F1217" s="456"/>
      <c r="G1217" s="456"/>
      <c r="H1217" s="456"/>
      <c r="I1217" s="457"/>
      <c r="J1217" s="221">
        <f>SUM(J1218:J1225)</f>
        <v>193652000</v>
      </c>
      <c r="K1217" s="39">
        <f t="shared" si="116"/>
        <v>0</v>
      </c>
      <c r="L1217" s="261">
        <f t="shared" si="120"/>
        <v>193652000</v>
      </c>
    </row>
    <row r="1218" spans="1:13" ht="75" x14ac:dyDescent="0.25">
      <c r="A1218" s="18"/>
      <c r="B1218" s="19"/>
      <c r="C1218" s="20" t="s">
        <v>1129</v>
      </c>
      <c r="D1218" s="21"/>
      <c r="E1218" s="22" t="s">
        <v>23</v>
      </c>
      <c r="F1218" s="203">
        <v>12.9</v>
      </c>
      <c r="G1218" s="296">
        <v>13800000</v>
      </c>
      <c r="H1218" s="299">
        <v>0.495</v>
      </c>
      <c r="I1218" s="298">
        <v>1.2</v>
      </c>
      <c r="J1218" s="223">
        <f>ROUND(F1218*G1218*H1218*I1218,-3)</f>
        <v>105744000</v>
      </c>
      <c r="K1218" s="39">
        <f t="shared" si="116"/>
        <v>105744000</v>
      </c>
      <c r="L1218" s="261">
        <f t="shared" si="120"/>
        <v>0</v>
      </c>
    </row>
    <row r="1219" spans="1:13" ht="78" customHeight="1" x14ac:dyDescent="0.25">
      <c r="A1219" s="18"/>
      <c r="B1219" s="19"/>
      <c r="C1219" s="20" t="s">
        <v>1127</v>
      </c>
      <c r="D1219" s="21"/>
      <c r="E1219" s="22" t="s">
        <v>23</v>
      </c>
      <c r="F1219" s="203">
        <v>18.3</v>
      </c>
      <c r="G1219" s="493" t="s">
        <v>1125</v>
      </c>
      <c r="H1219" s="494"/>
      <c r="I1219" s="494"/>
      <c r="J1219" s="222"/>
      <c r="K1219" s="39"/>
      <c r="L1219" s="261">
        <f t="shared" si="120"/>
        <v>0</v>
      </c>
    </row>
    <row r="1220" spans="1:13" ht="93.75" x14ac:dyDescent="0.3">
      <c r="A1220" s="69"/>
      <c r="B1220" s="8"/>
      <c r="C1220" s="82" t="s">
        <v>927</v>
      </c>
      <c r="D1220" s="81" t="s">
        <v>63</v>
      </c>
      <c r="E1220" s="27" t="s">
        <v>23</v>
      </c>
      <c r="F1220" s="89">
        <f>4.5*5.2</f>
        <v>23.400000000000002</v>
      </c>
      <c r="G1220" s="29">
        <f>2975000-99000</f>
        <v>2876000</v>
      </c>
      <c r="H1220" s="37">
        <v>1</v>
      </c>
      <c r="I1220" s="31">
        <v>1.1479999999999999</v>
      </c>
      <c r="J1220" s="223">
        <f t="shared" ref="J1220:J1225" si="121">ROUND(F1220*G1220*H1220*I1220,-3)</f>
        <v>77259000</v>
      </c>
      <c r="K1220" s="39">
        <f t="shared" si="116"/>
        <v>77259000</v>
      </c>
      <c r="L1220" s="261">
        <f t="shared" si="120"/>
        <v>0</v>
      </c>
    </row>
    <row r="1221" spans="1:13" ht="45" x14ac:dyDescent="0.3">
      <c r="A1221" s="69"/>
      <c r="B1221" s="8"/>
      <c r="C1221" s="82" t="s">
        <v>754</v>
      </c>
      <c r="D1221" s="26" t="s">
        <v>24</v>
      </c>
      <c r="E1221" s="84" t="s">
        <v>25</v>
      </c>
      <c r="F1221" s="89">
        <f>4.5*1*0.1</f>
        <v>0.45</v>
      </c>
      <c r="G1221" s="86">
        <v>2828000</v>
      </c>
      <c r="H1221" s="37">
        <v>0.8</v>
      </c>
      <c r="I1221" s="88">
        <v>1.1479999999999999</v>
      </c>
      <c r="J1221" s="223">
        <f t="shared" si="121"/>
        <v>1169000</v>
      </c>
      <c r="K1221" s="39">
        <f t="shared" si="116"/>
        <v>1169000</v>
      </c>
      <c r="L1221" s="261">
        <f t="shared" si="120"/>
        <v>0</v>
      </c>
    </row>
    <row r="1222" spans="1:13" ht="45" x14ac:dyDescent="0.3">
      <c r="A1222" s="69"/>
      <c r="B1222" s="8"/>
      <c r="C1222" s="82" t="s">
        <v>755</v>
      </c>
      <c r="D1222" s="42" t="s">
        <v>32</v>
      </c>
      <c r="E1222" s="27" t="s">
        <v>23</v>
      </c>
      <c r="F1222" s="89">
        <f>6.9*4.5</f>
        <v>31.05</v>
      </c>
      <c r="G1222" s="29">
        <v>215000</v>
      </c>
      <c r="H1222" s="37">
        <v>0.8</v>
      </c>
      <c r="I1222" s="31">
        <v>1.1479999999999999</v>
      </c>
      <c r="J1222" s="223">
        <f t="shared" si="121"/>
        <v>6131000</v>
      </c>
      <c r="K1222" s="39">
        <f t="shared" si="116"/>
        <v>6131000</v>
      </c>
      <c r="L1222" s="261">
        <f t="shared" si="120"/>
        <v>0</v>
      </c>
    </row>
    <row r="1223" spans="1:13" ht="45" x14ac:dyDescent="0.3">
      <c r="A1223" s="69"/>
      <c r="B1223" s="8"/>
      <c r="C1223" s="82" t="s">
        <v>905</v>
      </c>
      <c r="D1223" s="34" t="s">
        <v>51</v>
      </c>
      <c r="E1223" s="27" t="s">
        <v>23</v>
      </c>
      <c r="F1223" s="89">
        <f>4.5*1.6</f>
        <v>7.2</v>
      </c>
      <c r="G1223" s="29">
        <v>453000</v>
      </c>
      <c r="H1223" s="37">
        <v>0.8</v>
      </c>
      <c r="I1223" s="31">
        <v>1.1479999999999999</v>
      </c>
      <c r="J1223" s="223">
        <f t="shared" si="121"/>
        <v>2995000</v>
      </c>
      <c r="K1223" s="39">
        <f t="shared" ref="K1223:K1286" si="122">ROUND(F1223*G1223*H1223*I1223,-3)</f>
        <v>2995000</v>
      </c>
      <c r="L1223" s="261">
        <f t="shared" si="120"/>
        <v>0</v>
      </c>
    </row>
    <row r="1224" spans="1:13" ht="45" x14ac:dyDescent="0.3">
      <c r="A1224" s="69"/>
      <c r="B1224" s="8"/>
      <c r="C1224" s="82" t="s">
        <v>342</v>
      </c>
      <c r="D1224" s="62" t="s">
        <v>44</v>
      </c>
      <c r="E1224" s="63" t="s">
        <v>45</v>
      </c>
      <c r="F1224" s="89">
        <v>5.5</v>
      </c>
      <c r="G1224" s="65">
        <v>28000</v>
      </c>
      <c r="H1224" s="66">
        <v>1</v>
      </c>
      <c r="I1224" s="31">
        <v>1.1479999999999999</v>
      </c>
      <c r="J1224" s="223">
        <f t="shared" si="121"/>
        <v>177000</v>
      </c>
      <c r="K1224" s="39">
        <f t="shared" si="122"/>
        <v>177000</v>
      </c>
      <c r="L1224" s="261">
        <f t="shared" si="120"/>
        <v>0</v>
      </c>
    </row>
    <row r="1225" spans="1:13" ht="45" x14ac:dyDescent="0.3">
      <c r="A1225" s="69"/>
      <c r="B1225" s="8"/>
      <c r="C1225" s="82" t="s">
        <v>188</v>
      </c>
      <c r="D1225" s="42" t="s">
        <v>47</v>
      </c>
      <c r="E1225" s="63" t="s">
        <v>45</v>
      </c>
      <c r="F1225" s="33">
        <v>5.5</v>
      </c>
      <c r="G1225" s="46">
        <v>28000</v>
      </c>
      <c r="H1225" s="56">
        <v>1</v>
      </c>
      <c r="I1225" s="57">
        <v>1.1479999999999999</v>
      </c>
      <c r="J1225" s="223">
        <f t="shared" si="121"/>
        <v>177000</v>
      </c>
      <c r="K1225" s="39">
        <f t="shared" si="122"/>
        <v>177000</v>
      </c>
      <c r="L1225" s="261">
        <f t="shared" si="120"/>
        <v>0</v>
      </c>
    </row>
    <row r="1226" spans="1:13" ht="75" customHeight="1" x14ac:dyDescent="0.25">
      <c r="A1226" s="67">
        <v>75</v>
      </c>
      <c r="B1226" s="68" t="s">
        <v>472</v>
      </c>
      <c r="C1226" s="433" t="s">
        <v>1235</v>
      </c>
      <c r="D1226" s="434"/>
      <c r="E1226" s="434"/>
      <c r="F1226" s="434"/>
      <c r="G1226" s="434"/>
      <c r="H1226" s="434"/>
      <c r="I1226" s="435"/>
      <c r="J1226" s="221">
        <f>SUM(J1227:J1236)</f>
        <v>257571000</v>
      </c>
      <c r="K1226" s="39">
        <f t="shared" si="122"/>
        <v>0</v>
      </c>
      <c r="L1226" s="261">
        <f t="shared" si="120"/>
        <v>257571000</v>
      </c>
      <c r="M1226" s="261">
        <f t="shared" ref="M1226:M1236" si="123">J1226-K1226</f>
        <v>257571000</v>
      </c>
    </row>
    <row r="1227" spans="1:13" ht="85.5" customHeight="1" x14ac:dyDescent="0.25">
      <c r="A1227" s="18"/>
      <c r="B1227" s="19"/>
      <c r="C1227" s="20" t="s">
        <v>1129</v>
      </c>
      <c r="D1227" s="21"/>
      <c r="E1227" s="22" t="s">
        <v>23</v>
      </c>
      <c r="F1227" s="203">
        <v>0.9</v>
      </c>
      <c r="G1227" s="296">
        <v>13800000</v>
      </c>
      <c r="H1227" s="299">
        <v>1</v>
      </c>
      <c r="I1227" s="298">
        <v>1.2</v>
      </c>
      <c r="J1227" s="223">
        <f>ROUND(F1227*G1227*H1227*I1227,-3)</f>
        <v>14904000</v>
      </c>
      <c r="K1227" s="39">
        <f t="shared" si="122"/>
        <v>14904000</v>
      </c>
      <c r="L1227" s="261">
        <f t="shared" si="120"/>
        <v>0</v>
      </c>
    </row>
    <row r="1228" spans="1:13" ht="85.5" customHeight="1" x14ac:dyDescent="0.25">
      <c r="A1228" s="18"/>
      <c r="B1228" s="19"/>
      <c r="C1228" s="20" t="s">
        <v>1130</v>
      </c>
      <c r="D1228" s="21"/>
      <c r="E1228" s="22" t="s">
        <v>23</v>
      </c>
      <c r="F1228" s="203">
        <v>42.5</v>
      </c>
      <c r="G1228" s="493" t="s">
        <v>1133</v>
      </c>
      <c r="H1228" s="494"/>
      <c r="I1228" s="494"/>
      <c r="J1228" s="222">
        <v>0</v>
      </c>
      <c r="K1228" s="39"/>
      <c r="L1228" s="261">
        <f t="shared" si="120"/>
        <v>0</v>
      </c>
    </row>
    <row r="1229" spans="1:13" ht="118.5" customHeight="1" x14ac:dyDescent="0.25">
      <c r="A1229" s="67"/>
      <c r="B1229" s="68"/>
      <c r="C1229" s="25" t="s">
        <v>1236</v>
      </c>
      <c r="D1229" s="81" t="s">
        <v>63</v>
      </c>
      <c r="E1229" s="27" t="s">
        <v>23</v>
      </c>
      <c r="F1229" s="33">
        <f>9.5*6.15</f>
        <v>58.425000000000004</v>
      </c>
      <c r="G1229" s="29">
        <f>2975000-99000</f>
        <v>2876000</v>
      </c>
      <c r="H1229" s="37">
        <v>1</v>
      </c>
      <c r="I1229" s="31">
        <v>1.1479999999999999</v>
      </c>
      <c r="J1229" s="223">
        <f>ROUND(F1229*G1229*H1229*I1229,-3)</f>
        <v>192899000</v>
      </c>
      <c r="K1229" s="39">
        <f t="shared" si="122"/>
        <v>192899000</v>
      </c>
      <c r="L1229" s="261">
        <f t="shared" si="120"/>
        <v>0</v>
      </c>
      <c r="M1229" s="261">
        <f t="shared" si="123"/>
        <v>0</v>
      </c>
    </row>
    <row r="1230" spans="1:13" ht="75" customHeight="1" x14ac:dyDescent="0.25">
      <c r="A1230" s="67"/>
      <c r="B1230" s="68"/>
      <c r="C1230" s="25" t="s">
        <v>1237</v>
      </c>
      <c r="D1230" s="34" t="s">
        <v>80</v>
      </c>
      <c r="E1230" s="71" t="s">
        <v>23</v>
      </c>
      <c r="F1230" s="33">
        <f>8.5*5.9</f>
        <v>50.150000000000006</v>
      </c>
      <c r="G1230" s="29">
        <v>385000</v>
      </c>
      <c r="H1230" s="37">
        <v>1</v>
      </c>
      <c r="I1230" s="31">
        <v>1.1479999999999999</v>
      </c>
      <c r="J1230" s="223">
        <f t="shared" ref="J1230:J1236" si="124">ROUND(F1230*G1230*H1230*I1230,-3)</f>
        <v>22165000</v>
      </c>
      <c r="K1230" s="39">
        <f t="shared" si="122"/>
        <v>22165000</v>
      </c>
      <c r="L1230" s="261">
        <f t="shared" si="120"/>
        <v>0</v>
      </c>
      <c r="M1230" s="261">
        <f t="shared" si="123"/>
        <v>0</v>
      </c>
    </row>
    <row r="1231" spans="1:13" ht="75" customHeight="1" x14ac:dyDescent="0.25">
      <c r="A1231" s="67"/>
      <c r="B1231" s="68"/>
      <c r="C1231" s="25" t="s">
        <v>1238</v>
      </c>
      <c r="D1231" s="26" t="s">
        <v>24</v>
      </c>
      <c r="E1231" s="8" t="s">
        <v>25</v>
      </c>
      <c r="F1231" s="33">
        <f>0.6*0.15*6.15+0.7*0.15*6.15</f>
        <v>1.1992500000000001</v>
      </c>
      <c r="G1231" s="29">
        <v>2828000</v>
      </c>
      <c r="H1231" s="30">
        <v>1</v>
      </c>
      <c r="I1231" s="57">
        <v>1.1479999999999999</v>
      </c>
      <c r="J1231" s="223">
        <f t="shared" si="124"/>
        <v>3893000</v>
      </c>
      <c r="K1231" s="39">
        <f t="shared" si="122"/>
        <v>3893000</v>
      </c>
      <c r="L1231" s="261">
        <f t="shared" si="120"/>
        <v>0</v>
      </c>
      <c r="M1231" s="261">
        <f t="shared" si="123"/>
        <v>0</v>
      </c>
    </row>
    <row r="1232" spans="1:13" ht="75" customHeight="1" x14ac:dyDescent="0.25">
      <c r="A1232" s="67"/>
      <c r="B1232" s="68"/>
      <c r="C1232" s="25" t="s">
        <v>1239</v>
      </c>
      <c r="D1232" s="42" t="s">
        <v>32</v>
      </c>
      <c r="E1232" s="27" t="s">
        <v>23</v>
      </c>
      <c r="F1232" s="33">
        <f>4.9*6.15</f>
        <v>30.135000000000005</v>
      </c>
      <c r="G1232" s="29">
        <v>215000</v>
      </c>
      <c r="H1232" s="30">
        <v>1</v>
      </c>
      <c r="I1232" s="31">
        <v>1.1479999999999999</v>
      </c>
      <c r="J1232" s="223">
        <f t="shared" si="124"/>
        <v>7438000</v>
      </c>
      <c r="K1232" s="39">
        <f t="shared" si="122"/>
        <v>7438000</v>
      </c>
      <c r="L1232" s="261">
        <f t="shared" si="120"/>
        <v>0</v>
      </c>
      <c r="M1232" s="261">
        <f t="shared" si="123"/>
        <v>0</v>
      </c>
    </row>
    <row r="1233" spans="1:13" ht="75" customHeight="1" x14ac:dyDescent="0.25">
      <c r="A1233" s="67"/>
      <c r="B1233" s="68"/>
      <c r="C1233" s="25" t="s">
        <v>1240</v>
      </c>
      <c r="D1233" s="34" t="s">
        <v>55</v>
      </c>
      <c r="E1233" s="27" t="s">
        <v>23</v>
      </c>
      <c r="F1233" s="33">
        <f>(3*0.7)*2+6.15*1.6</f>
        <v>14.040000000000001</v>
      </c>
      <c r="G1233" s="29">
        <v>905000</v>
      </c>
      <c r="H1233" s="52">
        <v>1</v>
      </c>
      <c r="I1233" s="57">
        <v>1.1479999999999999</v>
      </c>
      <c r="J1233" s="223">
        <f t="shared" si="124"/>
        <v>14587000</v>
      </c>
      <c r="K1233" s="39">
        <f t="shared" si="122"/>
        <v>14587000</v>
      </c>
      <c r="L1233" s="261">
        <f t="shared" si="120"/>
        <v>0</v>
      </c>
      <c r="M1233" s="261">
        <f t="shared" si="123"/>
        <v>0</v>
      </c>
    </row>
    <row r="1234" spans="1:13" ht="75" customHeight="1" x14ac:dyDescent="0.25">
      <c r="A1234" s="67"/>
      <c r="B1234" s="68"/>
      <c r="C1234" s="25" t="s">
        <v>1241</v>
      </c>
      <c r="D1234" s="42" t="s">
        <v>54</v>
      </c>
      <c r="E1234" s="27" t="s">
        <v>23</v>
      </c>
      <c r="F1234" s="33">
        <f>6.15*0.8</f>
        <v>4.9200000000000008</v>
      </c>
      <c r="G1234" s="46">
        <v>213000</v>
      </c>
      <c r="H1234" s="52">
        <v>1</v>
      </c>
      <c r="I1234" s="57">
        <v>1.1479999999999999</v>
      </c>
      <c r="J1234" s="223">
        <f t="shared" si="124"/>
        <v>1203000</v>
      </c>
      <c r="K1234" s="39">
        <f t="shared" si="122"/>
        <v>1203000</v>
      </c>
      <c r="L1234" s="261">
        <f t="shared" si="120"/>
        <v>0</v>
      </c>
      <c r="M1234" s="261">
        <f t="shared" si="123"/>
        <v>0</v>
      </c>
    </row>
    <row r="1235" spans="1:13" ht="75" customHeight="1" x14ac:dyDescent="0.25">
      <c r="A1235" s="67"/>
      <c r="B1235" s="68"/>
      <c r="C1235" s="25" t="s">
        <v>1242</v>
      </c>
      <c r="D1235" s="42" t="s">
        <v>44</v>
      </c>
      <c r="E1235" s="63" t="s">
        <v>45</v>
      </c>
      <c r="F1235" s="33">
        <v>7.5</v>
      </c>
      <c r="G1235" s="46">
        <v>28000</v>
      </c>
      <c r="H1235" s="56">
        <v>1</v>
      </c>
      <c r="I1235" s="57">
        <v>1.1479999999999999</v>
      </c>
      <c r="J1235" s="223">
        <f t="shared" si="124"/>
        <v>241000</v>
      </c>
      <c r="K1235" s="39">
        <f t="shared" si="122"/>
        <v>241000</v>
      </c>
      <c r="L1235" s="261">
        <f t="shared" si="120"/>
        <v>0</v>
      </c>
      <c r="M1235" s="261">
        <f t="shared" si="123"/>
        <v>0</v>
      </c>
    </row>
    <row r="1236" spans="1:13" ht="75" customHeight="1" x14ac:dyDescent="0.25">
      <c r="A1236" s="67"/>
      <c r="B1236" s="68"/>
      <c r="C1236" s="25" t="s">
        <v>211</v>
      </c>
      <c r="D1236" s="42" t="s">
        <v>47</v>
      </c>
      <c r="E1236" s="63" t="s">
        <v>45</v>
      </c>
      <c r="F1236" s="33">
        <v>7.5</v>
      </c>
      <c r="G1236" s="46">
        <v>28000</v>
      </c>
      <c r="H1236" s="66">
        <v>1</v>
      </c>
      <c r="I1236" s="31">
        <v>1.1479999999999999</v>
      </c>
      <c r="J1236" s="223">
        <f t="shared" si="124"/>
        <v>241000</v>
      </c>
      <c r="K1236" s="39">
        <f t="shared" si="122"/>
        <v>241000</v>
      </c>
      <c r="L1236" s="261">
        <f t="shared" si="120"/>
        <v>0</v>
      </c>
      <c r="M1236" s="261">
        <f t="shared" si="123"/>
        <v>0</v>
      </c>
    </row>
    <row r="1237" spans="1:13" ht="75" customHeight="1" x14ac:dyDescent="0.25">
      <c r="A1237" s="110">
        <v>76</v>
      </c>
      <c r="B1237" s="111" t="s">
        <v>756</v>
      </c>
      <c r="C1237" s="495" t="s">
        <v>757</v>
      </c>
      <c r="D1237" s="496"/>
      <c r="E1237" s="496"/>
      <c r="F1237" s="496"/>
      <c r="G1237" s="496"/>
      <c r="H1237" s="496"/>
      <c r="I1237" s="497"/>
      <c r="J1237" s="228">
        <f>SUM(J1238:J1259)</f>
        <v>1023985000</v>
      </c>
      <c r="K1237" s="39">
        <f t="shared" si="122"/>
        <v>0</v>
      </c>
      <c r="L1237" s="261">
        <f t="shared" si="120"/>
        <v>1023985000</v>
      </c>
    </row>
    <row r="1238" spans="1:13" ht="75" customHeight="1" x14ac:dyDescent="0.25">
      <c r="A1238" s="211"/>
      <c r="B1238" s="17"/>
      <c r="C1238" s="20" t="s">
        <v>1129</v>
      </c>
      <c r="D1238" s="26"/>
      <c r="E1238" s="27" t="s">
        <v>23</v>
      </c>
      <c r="F1238" s="33">
        <v>12.72</v>
      </c>
      <c r="G1238" s="296">
        <v>13800000</v>
      </c>
      <c r="H1238" s="299">
        <v>0.59499999999999997</v>
      </c>
      <c r="I1238" s="298">
        <v>1.2</v>
      </c>
      <c r="J1238" s="223">
        <f>ROUND(F1238*G1238*H1238*I1238,-3)</f>
        <v>125333000</v>
      </c>
      <c r="K1238" s="39">
        <f t="shared" si="122"/>
        <v>125333000</v>
      </c>
      <c r="L1238" s="261">
        <f t="shared" si="120"/>
        <v>0</v>
      </c>
    </row>
    <row r="1239" spans="1:13" ht="75" customHeight="1" x14ac:dyDescent="0.25">
      <c r="A1239" s="211"/>
      <c r="B1239" s="17"/>
      <c r="C1239" s="20" t="s">
        <v>1130</v>
      </c>
      <c r="D1239" s="26"/>
      <c r="E1239" s="27" t="s">
        <v>23</v>
      </c>
      <c r="F1239" s="33">
        <v>53.78</v>
      </c>
      <c r="G1239" s="493" t="s">
        <v>1125</v>
      </c>
      <c r="H1239" s="494"/>
      <c r="I1239" s="494"/>
      <c r="J1239" s="227" t="s">
        <v>1131</v>
      </c>
      <c r="K1239" s="39"/>
      <c r="L1239" s="261">
        <f t="shared" si="120"/>
        <v>0</v>
      </c>
    </row>
    <row r="1240" spans="1:13" ht="148.5" customHeight="1" x14ac:dyDescent="0.3">
      <c r="A1240" s="69"/>
      <c r="B1240" s="8"/>
      <c r="C1240" s="82" t="s">
        <v>758</v>
      </c>
      <c r="D1240" s="81" t="s">
        <v>87</v>
      </c>
      <c r="E1240" s="27" t="s">
        <v>23</v>
      </c>
      <c r="F1240" s="89">
        <f>(5.5*5.5)+(5.55*(3.05*5.95)/2)+(5.5*5.5)+(5.55*(3.05*5.95)/2)</f>
        <v>161.218625</v>
      </c>
      <c r="G1240" s="11">
        <v>5339000</v>
      </c>
      <c r="H1240" s="37">
        <v>0.8</v>
      </c>
      <c r="I1240" s="31">
        <v>1.1479999999999999</v>
      </c>
      <c r="J1240" s="223">
        <f>ROUND(F1240*G1240*H1240*I1240,-3)</f>
        <v>790509000</v>
      </c>
      <c r="K1240" s="39">
        <f t="shared" si="122"/>
        <v>790509000</v>
      </c>
      <c r="L1240" s="261">
        <f t="shared" si="120"/>
        <v>0</v>
      </c>
    </row>
    <row r="1241" spans="1:13" ht="45" x14ac:dyDescent="0.3">
      <c r="A1241" s="69"/>
      <c r="B1241" s="8"/>
      <c r="C1241" s="82" t="s">
        <v>906</v>
      </c>
      <c r="D1241" s="34" t="s">
        <v>28</v>
      </c>
      <c r="E1241" s="27" t="s">
        <v>23</v>
      </c>
      <c r="F1241" s="89">
        <f>2.9*0.65+(1*0.45)*19</f>
        <v>10.435</v>
      </c>
      <c r="G1241" s="11">
        <v>396000</v>
      </c>
      <c r="H1241" s="37">
        <v>0.8</v>
      </c>
      <c r="I1241" s="31">
        <v>1.1479999999999999</v>
      </c>
      <c r="J1241" s="223">
        <f t="shared" ref="J1241:J1250" si="125">ROUND(F1241*G1241*H1241*I1241,-3)</f>
        <v>3795000</v>
      </c>
      <c r="K1241" s="39">
        <f t="shared" si="122"/>
        <v>3795000</v>
      </c>
      <c r="L1241" s="261">
        <f t="shared" si="120"/>
        <v>0</v>
      </c>
    </row>
    <row r="1242" spans="1:13" ht="45" x14ac:dyDescent="0.3">
      <c r="A1242" s="69"/>
      <c r="B1242" s="8"/>
      <c r="C1242" s="82" t="s">
        <v>907</v>
      </c>
      <c r="D1242" s="44" t="s">
        <v>33</v>
      </c>
      <c r="E1242" s="27" t="s">
        <v>23</v>
      </c>
      <c r="F1242" s="89">
        <f>7.6*0.85+7.9*0.7</f>
        <v>11.99</v>
      </c>
      <c r="G1242" s="29">
        <v>453000</v>
      </c>
      <c r="H1242" s="37">
        <v>0.8</v>
      </c>
      <c r="I1242" s="31">
        <v>1.1479999999999999</v>
      </c>
      <c r="J1242" s="223">
        <f t="shared" si="125"/>
        <v>4988000</v>
      </c>
      <c r="K1242" s="39">
        <f t="shared" si="122"/>
        <v>4988000</v>
      </c>
      <c r="L1242" s="261">
        <f t="shared" si="120"/>
        <v>0</v>
      </c>
    </row>
    <row r="1243" spans="1:13" ht="45" x14ac:dyDescent="0.3">
      <c r="A1243" s="69"/>
      <c r="B1243" s="8"/>
      <c r="C1243" s="82" t="s">
        <v>759</v>
      </c>
      <c r="D1243" s="34" t="s">
        <v>66</v>
      </c>
      <c r="E1243" s="27" t="s">
        <v>23</v>
      </c>
      <c r="F1243" s="89">
        <f>8.1*0.9+7.5*1.8+(46.1*0.15)*2</f>
        <v>34.619999999999997</v>
      </c>
      <c r="G1243" s="29">
        <v>339000</v>
      </c>
      <c r="H1243" s="37">
        <v>0.8</v>
      </c>
      <c r="I1243" s="31">
        <v>1.1479999999999999</v>
      </c>
      <c r="J1243" s="223">
        <f t="shared" si="125"/>
        <v>10779000</v>
      </c>
      <c r="K1243" s="39">
        <f t="shared" si="122"/>
        <v>10779000</v>
      </c>
      <c r="L1243" s="261">
        <f t="shared" si="120"/>
        <v>0</v>
      </c>
    </row>
    <row r="1244" spans="1:13" ht="45" x14ac:dyDescent="0.3">
      <c r="A1244" s="69"/>
      <c r="B1244" s="8"/>
      <c r="C1244" s="82" t="s">
        <v>908</v>
      </c>
      <c r="D1244" s="34" t="s">
        <v>66</v>
      </c>
      <c r="E1244" s="27" t="s">
        <v>23</v>
      </c>
      <c r="F1244" s="89">
        <f>3.2*0.9+4.4*0.8</f>
        <v>6.4</v>
      </c>
      <c r="G1244" s="29">
        <v>339000</v>
      </c>
      <c r="H1244" s="37">
        <v>0.8</v>
      </c>
      <c r="I1244" s="31">
        <v>1.1479999999999999</v>
      </c>
      <c r="J1244" s="223">
        <f t="shared" si="125"/>
        <v>1993000</v>
      </c>
      <c r="K1244" s="39">
        <f t="shared" si="122"/>
        <v>1993000</v>
      </c>
      <c r="L1244" s="261">
        <f t="shared" si="120"/>
        <v>0</v>
      </c>
    </row>
    <row r="1245" spans="1:13" ht="45" x14ac:dyDescent="0.3">
      <c r="A1245" s="69"/>
      <c r="B1245" s="8"/>
      <c r="C1245" s="82" t="s">
        <v>760</v>
      </c>
      <c r="D1245" s="34" t="s">
        <v>68</v>
      </c>
      <c r="E1245" s="168" t="s">
        <v>23</v>
      </c>
      <c r="F1245" s="89">
        <f>8.6*4.8</f>
        <v>41.279999999999994</v>
      </c>
      <c r="G1245" s="46">
        <v>213000</v>
      </c>
      <c r="H1245" s="37">
        <v>0.8</v>
      </c>
      <c r="I1245" s="31">
        <v>1.1479999999999999</v>
      </c>
      <c r="J1245" s="223">
        <f t="shared" si="125"/>
        <v>8075000</v>
      </c>
      <c r="K1245" s="39">
        <f t="shared" si="122"/>
        <v>8075000</v>
      </c>
      <c r="L1245" s="261">
        <f t="shared" si="120"/>
        <v>0</v>
      </c>
    </row>
    <row r="1246" spans="1:13" ht="45" x14ac:dyDescent="0.3">
      <c r="A1246" s="104"/>
      <c r="B1246" s="105"/>
      <c r="C1246" s="113" t="s">
        <v>909</v>
      </c>
      <c r="D1246" s="34" t="s">
        <v>51</v>
      </c>
      <c r="E1246" s="27" t="s">
        <v>23</v>
      </c>
      <c r="F1246" s="89">
        <f>4.9*1.8+3*1.5</f>
        <v>13.32</v>
      </c>
      <c r="G1246" s="29">
        <v>453000</v>
      </c>
      <c r="H1246" s="37">
        <v>0.8</v>
      </c>
      <c r="I1246" s="31">
        <v>1.1479999999999999</v>
      </c>
      <c r="J1246" s="223">
        <f t="shared" si="125"/>
        <v>5542000</v>
      </c>
      <c r="K1246" s="39">
        <f t="shared" si="122"/>
        <v>5542000</v>
      </c>
      <c r="L1246" s="261">
        <f t="shared" si="120"/>
        <v>0</v>
      </c>
    </row>
    <row r="1247" spans="1:13" ht="56.25" x14ac:dyDescent="0.3">
      <c r="A1247" s="107"/>
      <c r="B1247" s="84"/>
      <c r="C1247" s="106" t="s">
        <v>761</v>
      </c>
      <c r="D1247" s="26" t="s">
        <v>24</v>
      </c>
      <c r="E1247" s="84" t="s">
        <v>25</v>
      </c>
      <c r="F1247" s="89">
        <f>5.8*1*0.15+5*0.3*0.05+5.5*0.5*0.1+9.2*1*0.15+5*0.2*0.15</f>
        <v>2.75</v>
      </c>
      <c r="G1247" s="86">
        <v>2828000</v>
      </c>
      <c r="H1247" s="37">
        <v>0.8</v>
      </c>
      <c r="I1247" s="88">
        <v>1.1479999999999999</v>
      </c>
      <c r="J1247" s="223">
        <f t="shared" si="125"/>
        <v>7142000</v>
      </c>
      <c r="K1247" s="39">
        <f t="shared" si="122"/>
        <v>7142000</v>
      </c>
      <c r="L1247" s="261">
        <f t="shared" si="120"/>
        <v>0</v>
      </c>
    </row>
    <row r="1248" spans="1:13" ht="45" x14ac:dyDescent="0.3">
      <c r="A1248" s="69"/>
      <c r="B1248" s="8"/>
      <c r="C1248" s="82" t="s">
        <v>762</v>
      </c>
      <c r="D1248" s="34" t="s">
        <v>101</v>
      </c>
      <c r="E1248" s="71" t="s">
        <v>23</v>
      </c>
      <c r="F1248" s="10">
        <f>0.85*5.7</f>
        <v>4.8449999999999998</v>
      </c>
      <c r="G1248" s="29">
        <v>339000</v>
      </c>
      <c r="H1248" s="37">
        <v>0.8</v>
      </c>
      <c r="I1248" s="31">
        <v>1.1479999999999999</v>
      </c>
      <c r="J1248" s="223">
        <f t="shared" si="125"/>
        <v>1508000</v>
      </c>
      <c r="K1248" s="39">
        <f t="shared" si="122"/>
        <v>1508000</v>
      </c>
      <c r="L1248" s="261">
        <f t="shared" si="120"/>
        <v>0</v>
      </c>
    </row>
    <row r="1249" spans="1:13" ht="45" x14ac:dyDescent="0.3">
      <c r="A1249" s="69"/>
      <c r="B1249" s="8"/>
      <c r="C1249" s="82" t="s">
        <v>910</v>
      </c>
      <c r="D1249" s="34" t="s">
        <v>29</v>
      </c>
      <c r="E1249" s="27" t="s">
        <v>23</v>
      </c>
      <c r="F1249" s="208">
        <f>7.9*0.3</f>
        <v>2.37</v>
      </c>
      <c r="G1249" s="29">
        <v>792000</v>
      </c>
      <c r="H1249" s="37">
        <v>0.8</v>
      </c>
      <c r="I1249" s="31">
        <v>1.1479999999999999</v>
      </c>
      <c r="J1249" s="223">
        <f t="shared" si="125"/>
        <v>1724000</v>
      </c>
      <c r="K1249" s="39">
        <f t="shared" si="122"/>
        <v>1724000</v>
      </c>
      <c r="L1249" s="261">
        <f t="shared" si="120"/>
        <v>0</v>
      </c>
    </row>
    <row r="1250" spans="1:13" ht="45" x14ac:dyDescent="0.3">
      <c r="A1250" s="69"/>
      <c r="B1250" s="8"/>
      <c r="C1250" s="82" t="s">
        <v>321</v>
      </c>
      <c r="D1250" s="34" t="s">
        <v>38</v>
      </c>
      <c r="E1250" s="27" t="s">
        <v>39</v>
      </c>
      <c r="F1250" s="208">
        <v>2</v>
      </c>
      <c r="G1250" s="55">
        <v>1018000</v>
      </c>
      <c r="H1250" s="37">
        <v>0.8</v>
      </c>
      <c r="I1250" s="57">
        <v>1.1479999999999999</v>
      </c>
      <c r="J1250" s="226">
        <f t="shared" si="125"/>
        <v>1870000</v>
      </c>
      <c r="K1250" s="39">
        <f t="shared" si="122"/>
        <v>1870000</v>
      </c>
      <c r="L1250" s="261">
        <f t="shared" si="120"/>
        <v>0</v>
      </c>
    </row>
    <row r="1251" spans="1:13" s="293" customFormat="1" ht="75" x14ac:dyDescent="0.3">
      <c r="A1251" s="291"/>
      <c r="B1251" s="8"/>
      <c r="C1251" s="82" t="s">
        <v>1126</v>
      </c>
      <c r="D1251" s="34"/>
      <c r="E1251" s="27" t="s">
        <v>23</v>
      </c>
      <c r="F1251" s="89">
        <f>2.4*1+2.1*3.1</f>
        <v>8.91</v>
      </c>
      <c r="G1251" s="11">
        <v>2975000</v>
      </c>
      <c r="H1251" s="37">
        <v>0.8</v>
      </c>
      <c r="I1251" s="57">
        <v>1.1479999999999999</v>
      </c>
      <c r="J1251" s="226">
        <f>ROUND(F1251*G1251*H1251*I1251,-3)</f>
        <v>24344000</v>
      </c>
      <c r="K1251" s="39">
        <f t="shared" si="122"/>
        <v>24344000</v>
      </c>
      <c r="L1251" s="261">
        <f t="shared" si="120"/>
        <v>0</v>
      </c>
      <c r="M1251" s="302"/>
    </row>
    <row r="1252" spans="1:13" ht="45" x14ac:dyDescent="0.3">
      <c r="A1252" s="69"/>
      <c r="B1252" s="8"/>
      <c r="C1252" s="82" t="s">
        <v>911</v>
      </c>
      <c r="D1252" s="34" t="s">
        <v>55</v>
      </c>
      <c r="E1252" s="27" t="s">
        <v>23</v>
      </c>
      <c r="F1252" s="89">
        <f>4.9*2.3</f>
        <v>11.27</v>
      </c>
      <c r="G1252" s="29">
        <v>905000</v>
      </c>
      <c r="H1252" s="37">
        <v>0.8</v>
      </c>
      <c r="I1252" s="57">
        <v>1.1479999999999999</v>
      </c>
      <c r="J1252" s="223">
        <f t="shared" ref="J1252:J1259" si="126">ROUND(F1252*G1252*H1252*I1252,-3)</f>
        <v>9367000</v>
      </c>
      <c r="K1252" s="39">
        <f t="shared" si="122"/>
        <v>9367000</v>
      </c>
      <c r="L1252" s="261">
        <f t="shared" si="120"/>
        <v>0</v>
      </c>
    </row>
    <row r="1253" spans="1:13" ht="45" x14ac:dyDescent="0.3">
      <c r="A1253" s="69"/>
      <c r="B1253" s="8"/>
      <c r="C1253" s="82" t="s">
        <v>763</v>
      </c>
      <c r="D1253" s="34" t="s">
        <v>52</v>
      </c>
      <c r="E1253" s="71" t="s">
        <v>23</v>
      </c>
      <c r="F1253" s="89">
        <f>4.9*2.3</f>
        <v>11.27</v>
      </c>
      <c r="G1253" s="11" t="s">
        <v>53</v>
      </c>
      <c r="H1253" s="37">
        <v>0.8</v>
      </c>
      <c r="I1253" s="31">
        <v>1.1479999999999999</v>
      </c>
      <c r="J1253" s="223">
        <f t="shared" si="126"/>
        <v>2443000</v>
      </c>
      <c r="K1253" s="39">
        <f t="shared" si="122"/>
        <v>2443000</v>
      </c>
      <c r="L1253" s="261">
        <f t="shared" si="120"/>
        <v>0</v>
      </c>
    </row>
    <row r="1254" spans="1:13" ht="45" x14ac:dyDescent="0.3">
      <c r="A1254" s="104"/>
      <c r="B1254" s="105"/>
      <c r="C1254" s="113" t="s">
        <v>764</v>
      </c>
      <c r="D1254" s="34" t="s">
        <v>101</v>
      </c>
      <c r="E1254" s="71" t="s">
        <v>23</v>
      </c>
      <c r="F1254" s="209">
        <f>4.7*1.5</f>
        <v>7.0500000000000007</v>
      </c>
      <c r="G1254" s="29">
        <v>339000</v>
      </c>
      <c r="H1254" s="37">
        <v>0.8</v>
      </c>
      <c r="I1254" s="31">
        <v>1.1479999999999999</v>
      </c>
      <c r="J1254" s="223">
        <f t="shared" si="126"/>
        <v>2195000</v>
      </c>
      <c r="K1254" s="39">
        <f t="shared" si="122"/>
        <v>2195000</v>
      </c>
      <c r="L1254" s="261">
        <f t="shared" si="120"/>
        <v>0</v>
      </c>
    </row>
    <row r="1255" spans="1:13" ht="45" x14ac:dyDescent="0.3">
      <c r="A1255" s="69"/>
      <c r="B1255" s="8"/>
      <c r="C1255" s="121" t="s">
        <v>765</v>
      </c>
      <c r="D1255" s="42" t="s">
        <v>32</v>
      </c>
      <c r="E1255" s="27" t="s">
        <v>23</v>
      </c>
      <c r="F1255" s="10">
        <f>5.3*8</f>
        <v>42.4</v>
      </c>
      <c r="G1255" s="29">
        <v>215000</v>
      </c>
      <c r="H1255" s="37">
        <v>0.8</v>
      </c>
      <c r="I1255" s="31">
        <v>1.1479999999999999</v>
      </c>
      <c r="J1255" s="223">
        <f t="shared" si="126"/>
        <v>8372000</v>
      </c>
      <c r="K1255" s="39">
        <f t="shared" si="122"/>
        <v>8372000</v>
      </c>
      <c r="L1255" s="261">
        <f t="shared" si="120"/>
        <v>0</v>
      </c>
    </row>
    <row r="1256" spans="1:13" ht="45" x14ac:dyDescent="0.3">
      <c r="A1256" s="69"/>
      <c r="B1256" s="8"/>
      <c r="C1256" s="122" t="s">
        <v>766</v>
      </c>
      <c r="D1256" s="34" t="s">
        <v>52</v>
      </c>
      <c r="E1256" s="96" t="s">
        <v>91</v>
      </c>
      <c r="F1256" s="10">
        <f>2.3*1.2</f>
        <v>2.76</v>
      </c>
      <c r="G1256" s="11" t="s">
        <v>53</v>
      </c>
      <c r="H1256" s="37">
        <v>0.8</v>
      </c>
      <c r="I1256" s="31">
        <v>1.1479999999999999</v>
      </c>
      <c r="J1256" s="223">
        <f t="shared" si="126"/>
        <v>598000</v>
      </c>
      <c r="K1256" s="39">
        <f t="shared" si="122"/>
        <v>598000</v>
      </c>
      <c r="L1256" s="261">
        <f t="shared" si="120"/>
        <v>0</v>
      </c>
    </row>
    <row r="1257" spans="1:13" ht="45" x14ac:dyDescent="0.3">
      <c r="A1257" s="69"/>
      <c r="B1257" s="8"/>
      <c r="C1257" s="122" t="s">
        <v>767</v>
      </c>
      <c r="D1257" s="34" t="s">
        <v>52</v>
      </c>
      <c r="E1257" s="27" t="s">
        <v>23</v>
      </c>
      <c r="F1257" s="10">
        <f>15.05*4</f>
        <v>60.2</v>
      </c>
      <c r="G1257" s="11" t="s">
        <v>53</v>
      </c>
      <c r="H1257" s="37">
        <v>0.8</v>
      </c>
      <c r="I1257" s="78">
        <v>1.1479999999999999</v>
      </c>
      <c r="J1257" s="223">
        <f t="shared" si="126"/>
        <v>13048000</v>
      </c>
      <c r="K1257" s="39">
        <f t="shared" si="122"/>
        <v>13048000</v>
      </c>
      <c r="L1257" s="261">
        <f t="shared" si="120"/>
        <v>0</v>
      </c>
    </row>
    <row r="1258" spans="1:13" ht="45" x14ac:dyDescent="0.3">
      <c r="A1258" s="69"/>
      <c r="B1258" s="8"/>
      <c r="C1258" s="122" t="s">
        <v>186</v>
      </c>
      <c r="D1258" s="62" t="s">
        <v>44</v>
      </c>
      <c r="E1258" s="63" t="s">
        <v>45</v>
      </c>
      <c r="F1258" s="89">
        <v>7</v>
      </c>
      <c r="G1258" s="65">
        <v>28000</v>
      </c>
      <c r="H1258" s="37">
        <v>0.8</v>
      </c>
      <c r="I1258" s="31">
        <v>1.1479999999999999</v>
      </c>
      <c r="J1258" s="223">
        <f t="shared" si="126"/>
        <v>180000</v>
      </c>
      <c r="K1258" s="39">
        <f t="shared" si="122"/>
        <v>180000</v>
      </c>
      <c r="L1258" s="261">
        <f t="shared" si="120"/>
        <v>0</v>
      </c>
    </row>
    <row r="1259" spans="1:13" ht="45" x14ac:dyDescent="0.3">
      <c r="A1259" s="107"/>
      <c r="B1259" s="84"/>
      <c r="C1259" s="122" t="s">
        <v>187</v>
      </c>
      <c r="D1259" s="42" t="s">
        <v>47</v>
      </c>
      <c r="E1259" s="63" t="s">
        <v>45</v>
      </c>
      <c r="F1259" s="89">
        <v>7</v>
      </c>
      <c r="G1259" s="46">
        <v>28000</v>
      </c>
      <c r="H1259" s="37">
        <v>0.8</v>
      </c>
      <c r="I1259" s="31">
        <v>1.1479999999999999</v>
      </c>
      <c r="J1259" s="223">
        <f t="shared" si="126"/>
        <v>180000</v>
      </c>
      <c r="K1259" s="39">
        <f t="shared" si="122"/>
        <v>180000</v>
      </c>
      <c r="L1259" s="261">
        <f t="shared" si="120"/>
        <v>0</v>
      </c>
    </row>
    <row r="1260" spans="1:13" ht="75" customHeight="1" x14ac:dyDescent="0.25">
      <c r="A1260" s="67">
        <v>77</v>
      </c>
      <c r="B1260" s="68" t="s">
        <v>99</v>
      </c>
      <c r="C1260" s="433" t="s">
        <v>1132</v>
      </c>
      <c r="D1260" s="434"/>
      <c r="E1260" s="434"/>
      <c r="F1260" s="434"/>
      <c r="G1260" s="434"/>
      <c r="H1260" s="434"/>
      <c r="I1260" s="435"/>
      <c r="J1260" s="245">
        <f>SUM(J1261:J1284)</f>
        <v>385006000</v>
      </c>
      <c r="K1260" s="39">
        <f t="shared" si="122"/>
        <v>0</v>
      </c>
      <c r="L1260" s="261">
        <f t="shared" si="120"/>
        <v>385006000</v>
      </c>
    </row>
    <row r="1261" spans="1:13" ht="75" customHeight="1" x14ac:dyDescent="0.25">
      <c r="A1261" s="211"/>
      <c r="B1261" s="17"/>
      <c r="C1261" s="20" t="s">
        <v>1130</v>
      </c>
      <c r="D1261" s="26"/>
      <c r="E1261" s="27" t="s">
        <v>23</v>
      </c>
      <c r="F1261" s="33">
        <v>160.19999999999999</v>
      </c>
      <c r="G1261" s="493" t="s">
        <v>1125</v>
      </c>
      <c r="H1261" s="494"/>
      <c r="I1261" s="494"/>
      <c r="J1261" s="227" t="s">
        <v>1131</v>
      </c>
      <c r="K1261" s="39"/>
      <c r="L1261" s="261">
        <f t="shared" si="120"/>
        <v>0</v>
      </c>
    </row>
    <row r="1262" spans="1:13" ht="75" customHeight="1" x14ac:dyDescent="0.25">
      <c r="A1262" s="67"/>
      <c r="B1262" s="68"/>
      <c r="C1262" s="25" t="s">
        <v>768</v>
      </c>
      <c r="D1262" s="26" t="s">
        <v>24</v>
      </c>
      <c r="E1262" s="84" t="s">
        <v>25</v>
      </c>
      <c r="F1262" s="33">
        <f>5*0.8*0.1+1.1*0.5*0.05+5.15*0.2*0.05+2*0.5*0.05+1.8*0.3*0.05</f>
        <v>0.55600000000000005</v>
      </c>
      <c r="G1262" s="86">
        <v>2828000</v>
      </c>
      <c r="H1262" s="87">
        <v>0.8</v>
      </c>
      <c r="I1262" s="88">
        <v>1.1479999999999999</v>
      </c>
      <c r="J1262" s="223">
        <f>ROUND(F1262*G1262*H1262*I1262,-3)</f>
        <v>1444000</v>
      </c>
      <c r="K1262" s="39">
        <f t="shared" si="122"/>
        <v>1444000</v>
      </c>
      <c r="L1262" s="261">
        <f t="shared" si="120"/>
        <v>0</v>
      </c>
    </row>
    <row r="1263" spans="1:13" ht="121.5" customHeight="1" x14ac:dyDescent="0.25">
      <c r="A1263" s="67"/>
      <c r="B1263" s="68"/>
      <c r="C1263" s="25" t="s">
        <v>769</v>
      </c>
      <c r="D1263" s="81" t="s">
        <v>63</v>
      </c>
      <c r="E1263" s="27" t="s">
        <v>23</v>
      </c>
      <c r="F1263" s="33">
        <f>5.1*3.4+3.6*4.2+2.85*1.9</f>
        <v>37.875</v>
      </c>
      <c r="G1263" s="49">
        <v>2975000</v>
      </c>
      <c r="H1263" s="37">
        <v>0.8</v>
      </c>
      <c r="I1263" s="31">
        <v>1.1479999999999999</v>
      </c>
      <c r="J1263" s="223">
        <f>ROUND(F1263*G1263*H1263*I1263,-3)</f>
        <v>103484000</v>
      </c>
      <c r="K1263" s="39">
        <f t="shared" si="122"/>
        <v>103484000</v>
      </c>
      <c r="L1263" s="261">
        <f t="shared" si="120"/>
        <v>0</v>
      </c>
    </row>
    <row r="1264" spans="1:13" ht="75" customHeight="1" x14ac:dyDescent="0.25">
      <c r="A1264" s="67"/>
      <c r="B1264" s="68"/>
      <c r="C1264" s="25" t="s">
        <v>770</v>
      </c>
      <c r="D1264" s="81" t="s">
        <v>435</v>
      </c>
      <c r="E1264" s="27" t="s">
        <v>23</v>
      </c>
      <c r="F1264" s="33">
        <f>4*3+7.3*4.3</f>
        <v>43.39</v>
      </c>
      <c r="G1264" s="29">
        <v>3371000</v>
      </c>
      <c r="H1264" s="101">
        <v>0.8</v>
      </c>
      <c r="I1264" s="102">
        <v>1.1479999999999999</v>
      </c>
      <c r="J1264" s="223">
        <f>ROUND(F1264*G1264*H1264*I1264,-3)</f>
        <v>134332000</v>
      </c>
      <c r="K1264" s="39">
        <f t="shared" si="122"/>
        <v>134332000</v>
      </c>
      <c r="L1264" s="261">
        <f t="shared" si="120"/>
        <v>0</v>
      </c>
    </row>
    <row r="1265" spans="1:12" ht="75" customHeight="1" x14ac:dyDescent="0.25">
      <c r="A1265" s="67"/>
      <c r="B1265" s="68"/>
      <c r="C1265" s="25" t="s">
        <v>887</v>
      </c>
      <c r="D1265" s="34" t="s">
        <v>52</v>
      </c>
      <c r="E1265" s="71" t="s">
        <v>23</v>
      </c>
      <c r="F1265" s="33">
        <f>3.6*4.1+4.5*2.9</f>
        <v>27.81</v>
      </c>
      <c r="G1265" s="11" t="s">
        <v>53</v>
      </c>
      <c r="H1265" s="37">
        <v>0.8</v>
      </c>
      <c r="I1265" s="31">
        <v>1.1479999999999999</v>
      </c>
      <c r="J1265" s="223">
        <f>ROUND(F1265*G1265*H1265*I1265,-3)</f>
        <v>6028000</v>
      </c>
      <c r="K1265" s="39">
        <f t="shared" si="122"/>
        <v>6028000</v>
      </c>
      <c r="L1265" s="261">
        <f t="shared" si="120"/>
        <v>0</v>
      </c>
    </row>
    <row r="1266" spans="1:12" ht="107.25" customHeight="1" x14ac:dyDescent="0.25">
      <c r="A1266" s="67"/>
      <c r="B1266" s="68"/>
      <c r="C1266" s="25" t="s">
        <v>771</v>
      </c>
      <c r="D1266" s="81" t="s">
        <v>63</v>
      </c>
      <c r="E1266" s="27" t="s">
        <v>23</v>
      </c>
      <c r="F1266" s="33">
        <f>6.2*3</f>
        <v>18.600000000000001</v>
      </c>
      <c r="G1266" s="49">
        <v>2975000</v>
      </c>
      <c r="H1266" s="37">
        <v>0.8</v>
      </c>
      <c r="I1266" s="31">
        <v>1.1479999999999999</v>
      </c>
      <c r="J1266" s="223">
        <f>ROUND(F1266*G1266*H1266*I1266,-3)</f>
        <v>50820000</v>
      </c>
      <c r="K1266" s="39">
        <f t="shared" si="122"/>
        <v>50820000</v>
      </c>
      <c r="L1266" s="261">
        <f t="shared" si="120"/>
        <v>0</v>
      </c>
    </row>
    <row r="1267" spans="1:12" ht="45" x14ac:dyDescent="0.25">
      <c r="A1267" s="67"/>
      <c r="B1267" s="68"/>
      <c r="C1267" s="25" t="s">
        <v>772</v>
      </c>
      <c r="D1267" s="34" t="s">
        <v>68</v>
      </c>
      <c r="E1267" s="168" t="s">
        <v>23</v>
      </c>
      <c r="F1267" s="33">
        <f>6.1*2.9</f>
        <v>17.689999999999998</v>
      </c>
      <c r="G1267" s="46">
        <v>213000</v>
      </c>
      <c r="H1267" s="37">
        <v>0.8</v>
      </c>
      <c r="I1267" s="31">
        <v>1.1479999999999999</v>
      </c>
      <c r="J1267" s="223">
        <f t="shared" ref="J1267:J1280" si="127">ROUND(F1267*G1267*H1267*I1267,-3)</f>
        <v>3461000</v>
      </c>
      <c r="K1267" s="39">
        <f t="shared" si="122"/>
        <v>3461000</v>
      </c>
      <c r="L1267" s="261">
        <f t="shared" si="120"/>
        <v>0</v>
      </c>
    </row>
    <row r="1268" spans="1:12" ht="75" x14ac:dyDescent="0.25">
      <c r="A1268" s="67"/>
      <c r="B1268" s="68"/>
      <c r="C1268" s="25" t="s">
        <v>773</v>
      </c>
      <c r="D1268" s="34" t="s">
        <v>66</v>
      </c>
      <c r="E1268" s="27" t="s">
        <v>23</v>
      </c>
      <c r="F1268" s="33">
        <f>2.7*1.2+(0.8*0.4)*11+5.4*1.5+4*1+4*0.6</f>
        <v>21.26</v>
      </c>
      <c r="G1268" s="29">
        <v>339000</v>
      </c>
      <c r="H1268" s="38">
        <v>0.8</v>
      </c>
      <c r="I1268" s="31">
        <v>1.1479999999999999</v>
      </c>
      <c r="J1268" s="223">
        <f t="shared" si="127"/>
        <v>6619000</v>
      </c>
      <c r="K1268" s="39">
        <f t="shared" si="122"/>
        <v>6619000</v>
      </c>
      <c r="L1268" s="261">
        <f t="shared" ref="L1268:L1331" si="128">J1268-K1268</f>
        <v>0</v>
      </c>
    </row>
    <row r="1269" spans="1:12" ht="45" x14ac:dyDescent="0.25">
      <c r="A1269" s="67"/>
      <c r="B1269" s="68"/>
      <c r="C1269" s="25" t="s">
        <v>774</v>
      </c>
      <c r="D1269" s="42" t="s">
        <v>54</v>
      </c>
      <c r="E1269" s="27" t="s">
        <v>23</v>
      </c>
      <c r="F1269" s="33">
        <f>7.2*1.5+2.7*0.4</f>
        <v>11.88</v>
      </c>
      <c r="G1269" s="46">
        <v>213000</v>
      </c>
      <c r="H1269" s="52">
        <v>0.8</v>
      </c>
      <c r="I1269" s="57">
        <v>1.1479999999999999</v>
      </c>
      <c r="J1269" s="223">
        <f t="shared" si="127"/>
        <v>2324000</v>
      </c>
      <c r="K1269" s="39">
        <f t="shared" si="122"/>
        <v>2324000</v>
      </c>
      <c r="L1269" s="261">
        <f t="shared" si="128"/>
        <v>0</v>
      </c>
    </row>
    <row r="1270" spans="1:12" ht="45" x14ac:dyDescent="0.25">
      <c r="A1270" s="67"/>
      <c r="B1270" s="68"/>
      <c r="C1270" s="25" t="s">
        <v>720</v>
      </c>
      <c r="D1270" s="44" t="s">
        <v>33</v>
      </c>
      <c r="E1270" s="27" t="s">
        <v>23</v>
      </c>
      <c r="F1270" s="33">
        <f>6.2*0.8</f>
        <v>4.9600000000000009</v>
      </c>
      <c r="G1270" s="29">
        <v>453000</v>
      </c>
      <c r="H1270" s="45">
        <v>0.8</v>
      </c>
      <c r="I1270" s="31">
        <v>1.1479999999999999</v>
      </c>
      <c r="J1270" s="223">
        <f t="shared" si="127"/>
        <v>2064000</v>
      </c>
      <c r="K1270" s="39">
        <f t="shared" si="122"/>
        <v>2064000</v>
      </c>
      <c r="L1270" s="261">
        <f t="shared" si="128"/>
        <v>0</v>
      </c>
    </row>
    <row r="1271" spans="1:12" ht="45" x14ac:dyDescent="0.25">
      <c r="A1271" s="67"/>
      <c r="B1271" s="68"/>
      <c r="C1271" s="25" t="s">
        <v>912</v>
      </c>
      <c r="D1271" s="42" t="s">
        <v>32</v>
      </c>
      <c r="E1271" s="27" t="s">
        <v>23</v>
      </c>
      <c r="F1271" s="33">
        <f>(3.4*4)/2+4.4*1.8+4.5*2.9</f>
        <v>27.77</v>
      </c>
      <c r="G1271" s="29">
        <v>215000</v>
      </c>
      <c r="H1271" s="30">
        <v>0.8</v>
      </c>
      <c r="I1271" s="31">
        <v>1.1479999999999999</v>
      </c>
      <c r="J1271" s="223">
        <f t="shared" si="127"/>
        <v>5483000</v>
      </c>
      <c r="K1271" s="39">
        <f t="shared" si="122"/>
        <v>5483000</v>
      </c>
      <c r="L1271" s="261">
        <f t="shared" si="128"/>
        <v>0</v>
      </c>
    </row>
    <row r="1272" spans="1:12" ht="45" x14ac:dyDescent="0.25">
      <c r="A1272" s="67"/>
      <c r="B1272" s="68"/>
      <c r="C1272" s="25" t="s">
        <v>913</v>
      </c>
      <c r="D1272" s="34" t="s">
        <v>51</v>
      </c>
      <c r="E1272" s="27" t="s">
        <v>23</v>
      </c>
      <c r="F1272" s="33">
        <f>(3.4*4)/2+3*4.8</f>
        <v>21.2</v>
      </c>
      <c r="G1272" s="29">
        <v>453000</v>
      </c>
      <c r="H1272" s="37">
        <v>0.8</v>
      </c>
      <c r="I1272" s="31">
        <v>1.1479999999999999</v>
      </c>
      <c r="J1272" s="223">
        <f t="shared" si="127"/>
        <v>8820000</v>
      </c>
      <c r="K1272" s="39">
        <f t="shared" si="122"/>
        <v>8820000</v>
      </c>
      <c r="L1272" s="261">
        <f t="shared" si="128"/>
        <v>0</v>
      </c>
    </row>
    <row r="1273" spans="1:12" ht="45" x14ac:dyDescent="0.25">
      <c r="A1273" s="67"/>
      <c r="B1273" s="68"/>
      <c r="C1273" s="25" t="s">
        <v>886</v>
      </c>
      <c r="D1273" s="9" t="s">
        <v>88</v>
      </c>
      <c r="E1273" s="8" t="s">
        <v>25</v>
      </c>
      <c r="F1273" s="33">
        <f>(0.4*0.4*2.25)*2</f>
        <v>0.7200000000000002</v>
      </c>
      <c r="G1273" s="11">
        <v>2828000</v>
      </c>
      <c r="H1273" s="37">
        <v>0.8</v>
      </c>
      <c r="I1273" s="31">
        <v>1.1479999999999999</v>
      </c>
      <c r="J1273" s="223">
        <f t="shared" si="127"/>
        <v>1870000</v>
      </c>
      <c r="K1273" s="39">
        <f t="shared" si="122"/>
        <v>1870000</v>
      </c>
      <c r="L1273" s="261">
        <f t="shared" si="128"/>
        <v>0</v>
      </c>
    </row>
    <row r="1274" spans="1:12" ht="45" x14ac:dyDescent="0.25">
      <c r="A1274" s="67"/>
      <c r="B1274" s="68"/>
      <c r="C1274" s="25" t="s">
        <v>775</v>
      </c>
      <c r="D1274" s="26" t="s">
        <v>26</v>
      </c>
      <c r="E1274" s="27" t="s">
        <v>23</v>
      </c>
      <c r="F1274" s="33">
        <f>1.8*2</f>
        <v>3.6</v>
      </c>
      <c r="G1274" s="29">
        <v>679000</v>
      </c>
      <c r="H1274" s="30">
        <v>0.8</v>
      </c>
      <c r="I1274" s="31">
        <v>1.1479999999999999</v>
      </c>
      <c r="J1274" s="223">
        <f t="shared" si="127"/>
        <v>2245000</v>
      </c>
      <c r="K1274" s="39">
        <f t="shared" si="122"/>
        <v>2245000</v>
      </c>
      <c r="L1274" s="261">
        <f t="shared" si="128"/>
        <v>0</v>
      </c>
    </row>
    <row r="1275" spans="1:12" ht="45" x14ac:dyDescent="0.25">
      <c r="A1275" s="67"/>
      <c r="B1275" s="68"/>
      <c r="C1275" s="25" t="s">
        <v>885</v>
      </c>
      <c r="D1275" s="34" t="s">
        <v>29</v>
      </c>
      <c r="E1275" s="27" t="s">
        <v>23</v>
      </c>
      <c r="F1275" s="33">
        <f>3*1.3</f>
        <v>3.9000000000000004</v>
      </c>
      <c r="G1275" s="29">
        <v>792000</v>
      </c>
      <c r="H1275" s="37">
        <v>0.8</v>
      </c>
      <c r="I1275" s="31">
        <v>1.1479999999999999</v>
      </c>
      <c r="J1275" s="223">
        <f t="shared" si="127"/>
        <v>2837000</v>
      </c>
      <c r="K1275" s="39">
        <f t="shared" si="122"/>
        <v>2837000</v>
      </c>
      <c r="L1275" s="261">
        <f t="shared" si="128"/>
        <v>0</v>
      </c>
    </row>
    <row r="1276" spans="1:12" ht="45" x14ac:dyDescent="0.25">
      <c r="A1276" s="67"/>
      <c r="B1276" s="68"/>
      <c r="C1276" s="25" t="s">
        <v>884</v>
      </c>
      <c r="D1276" s="44" t="s">
        <v>33</v>
      </c>
      <c r="E1276" s="144" t="s">
        <v>91</v>
      </c>
      <c r="F1276" s="33">
        <f>3*1.6+2.4*0.6</f>
        <v>6.24</v>
      </c>
      <c r="G1276" s="100">
        <v>453000</v>
      </c>
      <c r="H1276" s="101">
        <v>0.8</v>
      </c>
      <c r="I1276" s="102">
        <v>1.1479999999999999</v>
      </c>
      <c r="J1276" s="222">
        <f t="shared" si="127"/>
        <v>2596000</v>
      </c>
      <c r="K1276" s="39">
        <f t="shared" si="122"/>
        <v>2596000</v>
      </c>
      <c r="L1276" s="261">
        <f t="shared" si="128"/>
        <v>0</v>
      </c>
    </row>
    <row r="1277" spans="1:12" ht="45" x14ac:dyDescent="0.25">
      <c r="A1277" s="67"/>
      <c r="B1277" s="68"/>
      <c r="C1277" s="25" t="s">
        <v>776</v>
      </c>
      <c r="D1277" s="34" t="s">
        <v>55</v>
      </c>
      <c r="E1277" s="27" t="s">
        <v>23</v>
      </c>
      <c r="F1277" s="33">
        <f>3.6*1+7.2*3+6.2*1+1.2*0.5</f>
        <v>32</v>
      </c>
      <c r="G1277" s="29">
        <v>905000</v>
      </c>
      <c r="H1277" s="52">
        <v>0.8</v>
      </c>
      <c r="I1277" s="57">
        <v>1.1479999999999999</v>
      </c>
      <c r="J1277" s="223">
        <f t="shared" si="127"/>
        <v>26597000</v>
      </c>
      <c r="K1277" s="39">
        <f t="shared" si="122"/>
        <v>26597000</v>
      </c>
      <c r="L1277" s="261">
        <f t="shared" si="128"/>
        <v>0</v>
      </c>
    </row>
    <row r="1278" spans="1:12" ht="45" x14ac:dyDescent="0.25">
      <c r="A1278" s="67"/>
      <c r="B1278" s="68"/>
      <c r="C1278" s="25" t="s">
        <v>777</v>
      </c>
      <c r="D1278" s="34" t="s">
        <v>52</v>
      </c>
      <c r="E1278" s="27" t="s">
        <v>23</v>
      </c>
      <c r="F1278" s="33">
        <f>4*1.2</f>
        <v>4.8</v>
      </c>
      <c r="G1278" s="11" t="s">
        <v>53</v>
      </c>
      <c r="H1278" s="37">
        <v>0.8</v>
      </c>
      <c r="I1278" s="79">
        <v>1.1479999999999999</v>
      </c>
      <c r="J1278" s="223">
        <f t="shared" si="127"/>
        <v>1040000</v>
      </c>
      <c r="K1278" s="39">
        <f t="shared" si="122"/>
        <v>1040000</v>
      </c>
      <c r="L1278" s="261">
        <f t="shared" si="128"/>
        <v>0</v>
      </c>
    </row>
    <row r="1279" spans="1:12" ht="45" x14ac:dyDescent="0.25">
      <c r="A1279" s="67"/>
      <c r="B1279" s="68"/>
      <c r="C1279" s="25" t="s">
        <v>778</v>
      </c>
      <c r="D1279" s="42" t="s">
        <v>32</v>
      </c>
      <c r="E1279" s="27" t="s">
        <v>23</v>
      </c>
      <c r="F1279" s="33">
        <f>22.8*4.6</f>
        <v>104.88</v>
      </c>
      <c r="G1279" s="29">
        <v>215000</v>
      </c>
      <c r="H1279" s="30">
        <v>0.8</v>
      </c>
      <c r="I1279" s="31">
        <v>1.1479999999999999</v>
      </c>
      <c r="J1279" s="223">
        <f t="shared" si="127"/>
        <v>20709000</v>
      </c>
      <c r="K1279" s="39">
        <f t="shared" si="122"/>
        <v>20709000</v>
      </c>
      <c r="L1279" s="261">
        <f t="shared" si="128"/>
        <v>0</v>
      </c>
    </row>
    <row r="1280" spans="1:12" ht="30" x14ac:dyDescent="0.25">
      <c r="A1280" s="67"/>
      <c r="B1280" s="68"/>
      <c r="C1280" s="25" t="s">
        <v>165</v>
      </c>
      <c r="D1280" s="97" t="s">
        <v>92</v>
      </c>
      <c r="E1280" s="27" t="s">
        <v>35</v>
      </c>
      <c r="F1280" s="54">
        <v>1</v>
      </c>
      <c r="G1280" s="46">
        <v>1065100</v>
      </c>
      <c r="H1280" s="50">
        <v>1</v>
      </c>
      <c r="I1280" s="51">
        <v>1</v>
      </c>
      <c r="J1280" s="223">
        <f t="shared" si="127"/>
        <v>1065000</v>
      </c>
      <c r="K1280" s="39">
        <f t="shared" si="122"/>
        <v>1065000</v>
      </c>
      <c r="L1280" s="261">
        <f t="shared" si="128"/>
        <v>0</v>
      </c>
    </row>
    <row r="1281" spans="1:12" ht="30" x14ac:dyDescent="0.25">
      <c r="A1281" s="67"/>
      <c r="B1281" s="68"/>
      <c r="C1281" s="25" t="s">
        <v>779</v>
      </c>
      <c r="D1281" s="97" t="s">
        <v>92</v>
      </c>
      <c r="E1281" s="27" t="s">
        <v>35</v>
      </c>
      <c r="F1281" s="54">
        <v>1</v>
      </c>
      <c r="G1281" s="46">
        <v>532550</v>
      </c>
      <c r="H1281" s="50">
        <v>1</v>
      </c>
      <c r="I1281" s="51">
        <v>1</v>
      </c>
      <c r="J1281" s="223">
        <f>ROUND(F1281*G1281*H1281*I1281,-3)</f>
        <v>533000</v>
      </c>
      <c r="K1281" s="39">
        <f t="shared" si="122"/>
        <v>533000</v>
      </c>
      <c r="L1281" s="261">
        <f t="shared" si="128"/>
        <v>0</v>
      </c>
    </row>
    <row r="1282" spans="1:12" ht="30" x14ac:dyDescent="0.25">
      <c r="A1282" s="67"/>
      <c r="B1282" s="68"/>
      <c r="C1282" s="25" t="s">
        <v>780</v>
      </c>
      <c r="D1282" s="42" t="s">
        <v>205</v>
      </c>
      <c r="E1282" s="27" t="s">
        <v>35</v>
      </c>
      <c r="F1282" s="33">
        <v>1</v>
      </c>
      <c r="G1282" s="29">
        <v>223240</v>
      </c>
      <c r="H1282" s="50">
        <v>1</v>
      </c>
      <c r="I1282" s="51">
        <v>1</v>
      </c>
      <c r="J1282" s="223">
        <f>ROUND(F1282*G1282*H1282*I1282,-3)</f>
        <v>223000</v>
      </c>
      <c r="K1282" s="39">
        <f t="shared" si="122"/>
        <v>223000</v>
      </c>
      <c r="L1282" s="261">
        <f t="shared" si="128"/>
        <v>0</v>
      </c>
    </row>
    <row r="1283" spans="1:12" ht="45" x14ac:dyDescent="0.25">
      <c r="A1283" s="67"/>
      <c r="B1283" s="68"/>
      <c r="C1283" s="25" t="s">
        <v>184</v>
      </c>
      <c r="D1283" s="62" t="s">
        <v>44</v>
      </c>
      <c r="E1283" s="63" t="s">
        <v>45</v>
      </c>
      <c r="F1283" s="33">
        <v>8</v>
      </c>
      <c r="G1283" s="65">
        <v>28000</v>
      </c>
      <c r="H1283" s="66">
        <v>0.8</v>
      </c>
      <c r="I1283" s="31">
        <v>1.1479999999999999</v>
      </c>
      <c r="J1283" s="223">
        <f>ROUND(F1283*G1283*H1283*I1283,-3)</f>
        <v>206000</v>
      </c>
      <c r="K1283" s="39">
        <f t="shared" si="122"/>
        <v>206000</v>
      </c>
      <c r="L1283" s="261">
        <f t="shared" si="128"/>
        <v>0</v>
      </c>
    </row>
    <row r="1284" spans="1:12" ht="45" x14ac:dyDescent="0.25">
      <c r="A1284" s="67"/>
      <c r="B1284" s="68"/>
      <c r="C1284" s="25" t="s">
        <v>185</v>
      </c>
      <c r="D1284" s="42" t="s">
        <v>47</v>
      </c>
      <c r="E1284" s="63" t="s">
        <v>45</v>
      </c>
      <c r="F1284" s="33">
        <v>8</v>
      </c>
      <c r="G1284" s="46">
        <v>28000</v>
      </c>
      <c r="H1284" s="66">
        <v>0.8</v>
      </c>
      <c r="I1284" s="31">
        <v>1.1479999999999999</v>
      </c>
      <c r="J1284" s="223">
        <f>ROUND(F1284*G1284*H1284*I1284,-3)</f>
        <v>206000</v>
      </c>
      <c r="K1284" s="39">
        <f t="shared" si="122"/>
        <v>206000</v>
      </c>
      <c r="L1284" s="261">
        <f t="shared" si="128"/>
        <v>0</v>
      </c>
    </row>
    <row r="1285" spans="1:12" ht="75" customHeight="1" x14ac:dyDescent="0.25">
      <c r="A1285" s="108">
        <v>78</v>
      </c>
      <c r="B1285" s="109" t="s">
        <v>103</v>
      </c>
      <c r="C1285" s="455" t="s">
        <v>781</v>
      </c>
      <c r="D1285" s="456"/>
      <c r="E1285" s="456"/>
      <c r="F1285" s="456"/>
      <c r="G1285" s="456"/>
      <c r="H1285" s="456"/>
      <c r="I1285" s="457"/>
      <c r="J1285" s="221">
        <f>SUM(J1286:J1297)</f>
        <v>36324000</v>
      </c>
      <c r="K1285" s="39">
        <f t="shared" si="122"/>
        <v>0</v>
      </c>
      <c r="L1285" s="261">
        <f t="shared" si="128"/>
        <v>36324000</v>
      </c>
    </row>
    <row r="1286" spans="1:12" ht="75" customHeight="1" x14ac:dyDescent="0.25">
      <c r="A1286" s="211"/>
      <c r="B1286" s="17"/>
      <c r="C1286" s="20" t="s">
        <v>1129</v>
      </c>
      <c r="D1286" s="26"/>
      <c r="E1286" s="27" t="s">
        <v>23</v>
      </c>
      <c r="F1286" s="33">
        <v>0.3</v>
      </c>
      <c r="G1286" s="296">
        <v>26450000</v>
      </c>
      <c r="H1286" s="299">
        <v>1</v>
      </c>
      <c r="I1286" s="298">
        <v>1.2</v>
      </c>
      <c r="J1286" s="223">
        <f>ROUND(F1286*G1286*H1286*I1286,-3)</f>
        <v>9522000</v>
      </c>
      <c r="K1286" s="39">
        <f t="shared" si="122"/>
        <v>9522000</v>
      </c>
      <c r="L1286" s="261">
        <f t="shared" si="128"/>
        <v>0</v>
      </c>
    </row>
    <row r="1287" spans="1:12" ht="85.5" customHeight="1" x14ac:dyDescent="0.25">
      <c r="A1287" s="211"/>
      <c r="B1287" s="17"/>
      <c r="C1287" s="20" t="s">
        <v>1130</v>
      </c>
      <c r="D1287" s="26"/>
      <c r="E1287" s="27" t="s">
        <v>23</v>
      </c>
      <c r="F1287" s="33">
        <v>1.5</v>
      </c>
      <c r="G1287" s="493" t="s">
        <v>1125</v>
      </c>
      <c r="H1287" s="494"/>
      <c r="I1287" s="494"/>
      <c r="J1287" s="227" t="s">
        <v>1131</v>
      </c>
      <c r="K1287" s="39"/>
      <c r="L1287" s="261">
        <f t="shared" si="128"/>
        <v>0</v>
      </c>
    </row>
    <row r="1288" spans="1:12" ht="45" x14ac:dyDescent="0.25">
      <c r="A1288" s="67"/>
      <c r="B1288" s="68"/>
      <c r="C1288" s="128" t="s">
        <v>782</v>
      </c>
      <c r="D1288" s="26" t="s">
        <v>24</v>
      </c>
      <c r="E1288" s="27" t="s">
        <v>25</v>
      </c>
      <c r="F1288" s="129">
        <f>(0.45*0.6*3)*2</f>
        <v>1.62</v>
      </c>
      <c r="G1288" s="29">
        <v>2828000</v>
      </c>
      <c r="H1288" s="30">
        <v>0.8</v>
      </c>
      <c r="I1288" s="31">
        <v>1.1479999999999999</v>
      </c>
      <c r="J1288" s="223">
        <f t="shared" ref="J1288:J1297" si="129">ROUND(F1288*G1288*H1288*I1288,-3)</f>
        <v>4208000</v>
      </c>
      <c r="K1288" s="39">
        <f t="shared" ref="K1288:K1350" si="130">ROUND(F1288*G1288*H1288*I1288,-3)</f>
        <v>4208000</v>
      </c>
      <c r="L1288" s="261">
        <f t="shared" si="128"/>
        <v>0</v>
      </c>
    </row>
    <row r="1289" spans="1:12" ht="45" x14ac:dyDescent="0.25">
      <c r="A1289" s="67"/>
      <c r="B1289" s="68"/>
      <c r="C1289" s="128" t="s">
        <v>783</v>
      </c>
      <c r="D1289" s="34" t="s">
        <v>66</v>
      </c>
      <c r="E1289" s="27" t="s">
        <v>23</v>
      </c>
      <c r="F1289" s="129">
        <f>(1.05*2.8)*4</f>
        <v>11.76</v>
      </c>
      <c r="G1289" s="29">
        <v>339000</v>
      </c>
      <c r="H1289" s="38">
        <v>0.8</v>
      </c>
      <c r="I1289" s="31">
        <v>1.1479999999999999</v>
      </c>
      <c r="J1289" s="223">
        <f t="shared" si="129"/>
        <v>3661000</v>
      </c>
      <c r="K1289" s="39">
        <f t="shared" si="130"/>
        <v>3661000</v>
      </c>
      <c r="L1289" s="261">
        <f t="shared" si="128"/>
        <v>0</v>
      </c>
    </row>
    <row r="1290" spans="1:12" ht="45" x14ac:dyDescent="0.25">
      <c r="A1290" s="67"/>
      <c r="B1290" s="68"/>
      <c r="C1290" s="128" t="s">
        <v>784</v>
      </c>
      <c r="D1290" s="26" t="s">
        <v>26</v>
      </c>
      <c r="E1290" s="27" t="s">
        <v>23</v>
      </c>
      <c r="F1290" s="129">
        <f>2.6*2.6</f>
        <v>6.7600000000000007</v>
      </c>
      <c r="G1290" s="29">
        <v>679000</v>
      </c>
      <c r="H1290" s="30">
        <v>0.8</v>
      </c>
      <c r="I1290" s="31">
        <v>1.1479999999999999</v>
      </c>
      <c r="J1290" s="223">
        <f t="shared" si="129"/>
        <v>4215000</v>
      </c>
      <c r="K1290" s="39">
        <f t="shared" si="130"/>
        <v>4215000</v>
      </c>
      <c r="L1290" s="261">
        <f t="shared" si="128"/>
        <v>0</v>
      </c>
    </row>
    <row r="1291" spans="1:12" ht="45" x14ac:dyDescent="0.25">
      <c r="A1291" s="67"/>
      <c r="B1291" s="68"/>
      <c r="C1291" s="128" t="s">
        <v>883</v>
      </c>
      <c r="D1291" s="44" t="s">
        <v>33</v>
      </c>
      <c r="E1291" s="144" t="s">
        <v>91</v>
      </c>
      <c r="F1291" s="129">
        <f>1.2*3.2+(0.8*2.5)*2</f>
        <v>7.84</v>
      </c>
      <c r="G1291" s="100">
        <v>453000</v>
      </c>
      <c r="H1291" s="101">
        <v>0.08</v>
      </c>
      <c r="I1291" s="102">
        <v>1.1479999999999999</v>
      </c>
      <c r="J1291" s="222">
        <f t="shared" si="129"/>
        <v>326000</v>
      </c>
      <c r="K1291" s="39">
        <f t="shared" si="130"/>
        <v>326000</v>
      </c>
      <c r="L1291" s="261">
        <f t="shared" si="128"/>
        <v>0</v>
      </c>
    </row>
    <row r="1292" spans="1:12" ht="45" x14ac:dyDescent="0.25">
      <c r="A1292" s="67"/>
      <c r="B1292" s="68"/>
      <c r="C1292" s="128" t="s">
        <v>882</v>
      </c>
      <c r="D1292" s="34" t="s">
        <v>51</v>
      </c>
      <c r="E1292" s="27" t="s">
        <v>23</v>
      </c>
      <c r="F1292" s="129">
        <f>2.2*5.1</f>
        <v>11.22</v>
      </c>
      <c r="G1292" s="29">
        <v>453000</v>
      </c>
      <c r="H1292" s="37">
        <v>0.8</v>
      </c>
      <c r="I1292" s="31">
        <v>1.1479999999999999</v>
      </c>
      <c r="J1292" s="223">
        <f t="shared" si="129"/>
        <v>4668000</v>
      </c>
      <c r="K1292" s="39">
        <f t="shared" si="130"/>
        <v>4668000</v>
      </c>
      <c r="L1292" s="261">
        <f t="shared" si="128"/>
        <v>0</v>
      </c>
    </row>
    <row r="1293" spans="1:12" ht="45" x14ac:dyDescent="0.25">
      <c r="A1293" s="67"/>
      <c r="B1293" s="68"/>
      <c r="C1293" s="128" t="s">
        <v>785</v>
      </c>
      <c r="D1293" s="34" t="s">
        <v>90</v>
      </c>
      <c r="E1293" s="27" t="s">
        <v>23</v>
      </c>
      <c r="F1293" s="129">
        <f>7.2*5.1</f>
        <v>36.72</v>
      </c>
      <c r="G1293" s="29">
        <v>181000</v>
      </c>
      <c r="H1293" s="101">
        <v>0.8</v>
      </c>
      <c r="I1293" s="102">
        <v>1.1479999999999999</v>
      </c>
      <c r="J1293" s="223">
        <f t="shared" si="129"/>
        <v>6104000</v>
      </c>
      <c r="K1293" s="39">
        <f t="shared" si="130"/>
        <v>6104000</v>
      </c>
      <c r="L1293" s="261">
        <f t="shared" si="128"/>
        <v>0</v>
      </c>
    </row>
    <row r="1294" spans="1:12" ht="45" x14ac:dyDescent="0.25">
      <c r="A1294" s="67"/>
      <c r="B1294" s="68"/>
      <c r="C1294" s="128" t="s">
        <v>786</v>
      </c>
      <c r="D1294" s="42" t="s">
        <v>32</v>
      </c>
      <c r="E1294" s="27" t="s">
        <v>23</v>
      </c>
      <c r="F1294" s="129">
        <f>2.5*5.1</f>
        <v>12.75</v>
      </c>
      <c r="G1294" s="29">
        <v>215000</v>
      </c>
      <c r="H1294" s="30">
        <v>0.8</v>
      </c>
      <c r="I1294" s="31">
        <v>1.1479999999999999</v>
      </c>
      <c r="J1294" s="223">
        <f t="shared" si="129"/>
        <v>2518000</v>
      </c>
      <c r="K1294" s="39">
        <f t="shared" si="130"/>
        <v>2518000</v>
      </c>
      <c r="L1294" s="261">
        <f t="shared" si="128"/>
        <v>0</v>
      </c>
    </row>
    <row r="1295" spans="1:12" ht="45" x14ac:dyDescent="0.25">
      <c r="A1295" s="67"/>
      <c r="B1295" s="68"/>
      <c r="C1295" s="128" t="s">
        <v>320</v>
      </c>
      <c r="D1295" s="58" t="s">
        <v>41</v>
      </c>
      <c r="E1295" s="59" t="s">
        <v>42</v>
      </c>
      <c r="F1295" s="129">
        <v>15</v>
      </c>
      <c r="G1295" s="11">
        <v>10650</v>
      </c>
      <c r="H1295" s="60">
        <v>1</v>
      </c>
      <c r="I1295" s="61">
        <v>1</v>
      </c>
      <c r="J1295" s="223">
        <f t="shared" si="129"/>
        <v>160000</v>
      </c>
      <c r="K1295" s="39">
        <f t="shared" si="130"/>
        <v>160000</v>
      </c>
      <c r="L1295" s="261">
        <f t="shared" si="128"/>
        <v>0</v>
      </c>
    </row>
    <row r="1296" spans="1:12" s="169" customFormat="1" ht="45" x14ac:dyDescent="0.25">
      <c r="A1296" s="108"/>
      <c r="B1296" s="109"/>
      <c r="C1296" s="184" t="s">
        <v>926</v>
      </c>
      <c r="D1296" s="239" t="s">
        <v>41</v>
      </c>
      <c r="E1296" s="240" t="s">
        <v>42</v>
      </c>
      <c r="F1296" s="241">
        <v>2</v>
      </c>
      <c r="G1296" s="139">
        <v>5330</v>
      </c>
      <c r="H1296" s="242">
        <v>1</v>
      </c>
      <c r="I1296" s="243">
        <v>1</v>
      </c>
      <c r="J1296" s="222">
        <f t="shared" si="129"/>
        <v>11000</v>
      </c>
      <c r="K1296" s="39">
        <f t="shared" si="130"/>
        <v>11000</v>
      </c>
      <c r="L1296" s="261">
        <f t="shared" si="128"/>
        <v>0</v>
      </c>
    </row>
    <row r="1297" spans="1:12" ht="45" x14ac:dyDescent="0.25">
      <c r="A1297" s="67"/>
      <c r="B1297" s="8"/>
      <c r="C1297" s="134" t="s">
        <v>914</v>
      </c>
      <c r="D1297" s="34" t="s">
        <v>29</v>
      </c>
      <c r="E1297" s="27" t="s">
        <v>23</v>
      </c>
      <c r="F1297" s="210">
        <f>0.8*1.6</f>
        <v>1.2800000000000002</v>
      </c>
      <c r="G1297" s="29">
        <v>792000</v>
      </c>
      <c r="H1297" s="37">
        <v>0.8</v>
      </c>
      <c r="I1297" s="31">
        <v>1.1479999999999999</v>
      </c>
      <c r="J1297" s="223">
        <f t="shared" si="129"/>
        <v>931000</v>
      </c>
      <c r="K1297" s="39">
        <f t="shared" si="130"/>
        <v>931000</v>
      </c>
      <c r="L1297" s="261">
        <f t="shared" si="128"/>
        <v>0</v>
      </c>
    </row>
    <row r="1298" spans="1:12" ht="75" customHeight="1" x14ac:dyDescent="0.25">
      <c r="A1298" s="211">
        <v>79</v>
      </c>
      <c r="B1298" s="17" t="s">
        <v>787</v>
      </c>
      <c r="C1298" s="433" t="s">
        <v>788</v>
      </c>
      <c r="D1298" s="434"/>
      <c r="E1298" s="434"/>
      <c r="F1298" s="434"/>
      <c r="G1298" s="434"/>
      <c r="H1298" s="434"/>
      <c r="I1298" s="435"/>
      <c r="J1298" s="221">
        <f>SUM(J1300:J1303)</f>
        <v>18139000</v>
      </c>
      <c r="K1298" s="39">
        <f t="shared" si="130"/>
        <v>0</v>
      </c>
      <c r="L1298" s="261">
        <f t="shared" si="128"/>
        <v>18139000</v>
      </c>
    </row>
    <row r="1299" spans="1:12" ht="87" customHeight="1" x14ac:dyDescent="0.25">
      <c r="A1299" s="67"/>
      <c r="B1299" s="68"/>
      <c r="C1299" s="20" t="s">
        <v>789</v>
      </c>
      <c r="D1299" s="26"/>
      <c r="E1299" s="27" t="s">
        <v>23</v>
      </c>
      <c r="F1299" s="33">
        <v>6.6</v>
      </c>
      <c r="G1299" s="493" t="s">
        <v>1125</v>
      </c>
      <c r="H1299" s="494"/>
      <c r="I1299" s="494"/>
      <c r="J1299" s="227"/>
      <c r="K1299" s="39"/>
      <c r="L1299" s="261">
        <f t="shared" si="128"/>
        <v>0</v>
      </c>
    </row>
    <row r="1300" spans="1:12" ht="45" x14ac:dyDescent="0.25">
      <c r="A1300" s="211"/>
      <c r="B1300" s="17"/>
      <c r="C1300" s="134" t="s">
        <v>915</v>
      </c>
      <c r="D1300" s="34" t="s">
        <v>51</v>
      </c>
      <c r="E1300" s="27" t="s">
        <v>23</v>
      </c>
      <c r="F1300" s="204">
        <f>5*2.45</f>
        <v>12.25</v>
      </c>
      <c r="G1300" s="29">
        <v>453000</v>
      </c>
      <c r="H1300" s="37">
        <v>0.8</v>
      </c>
      <c r="I1300" s="31">
        <v>1.1479999999999999</v>
      </c>
      <c r="J1300" s="223">
        <f>ROUND(F1300*G1300*H1300*I1300,-3)</f>
        <v>5096000</v>
      </c>
      <c r="K1300" s="39">
        <f t="shared" si="130"/>
        <v>5096000</v>
      </c>
      <c r="L1300" s="261">
        <f t="shared" si="128"/>
        <v>0</v>
      </c>
    </row>
    <row r="1301" spans="1:12" ht="45" x14ac:dyDescent="0.3">
      <c r="A1301" s="69"/>
      <c r="B1301" s="8"/>
      <c r="C1301" s="82" t="s">
        <v>790</v>
      </c>
      <c r="D1301" s="34" t="s">
        <v>101</v>
      </c>
      <c r="E1301" s="71" t="s">
        <v>23</v>
      </c>
      <c r="F1301" s="89">
        <f>5*5.6</f>
        <v>28</v>
      </c>
      <c r="G1301" s="29">
        <v>339000</v>
      </c>
      <c r="H1301" s="37">
        <v>0.8</v>
      </c>
      <c r="I1301" s="31">
        <v>1.1479999999999999</v>
      </c>
      <c r="J1301" s="223">
        <f>ROUND(F1301*G1301*H1301*I1301,-3)</f>
        <v>8717000</v>
      </c>
      <c r="K1301" s="39">
        <f t="shared" si="130"/>
        <v>8717000</v>
      </c>
      <c r="L1301" s="261">
        <f t="shared" si="128"/>
        <v>0</v>
      </c>
    </row>
    <row r="1302" spans="1:12" ht="45" x14ac:dyDescent="0.3">
      <c r="A1302" s="69"/>
      <c r="B1302" s="8"/>
      <c r="C1302" s="82" t="s">
        <v>791</v>
      </c>
      <c r="D1302" s="42" t="s">
        <v>32</v>
      </c>
      <c r="E1302" s="27" t="s">
        <v>23</v>
      </c>
      <c r="F1302" s="89">
        <f>5*4.2</f>
        <v>21</v>
      </c>
      <c r="G1302" s="29">
        <v>215000</v>
      </c>
      <c r="H1302" s="30">
        <v>0.8</v>
      </c>
      <c r="I1302" s="31">
        <v>1.1479999999999999</v>
      </c>
      <c r="J1302" s="223">
        <f>ROUND(F1302*G1302*H1302*I1302,-3)</f>
        <v>4147000</v>
      </c>
      <c r="K1302" s="39">
        <f t="shared" si="130"/>
        <v>4147000</v>
      </c>
      <c r="L1302" s="261">
        <f t="shared" si="128"/>
        <v>0</v>
      </c>
    </row>
    <row r="1303" spans="1:12" ht="30" x14ac:dyDescent="0.3">
      <c r="A1303" s="69"/>
      <c r="B1303" s="8"/>
      <c r="C1303" s="82" t="s">
        <v>780</v>
      </c>
      <c r="D1303" s="42" t="s">
        <v>205</v>
      </c>
      <c r="E1303" s="27" t="s">
        <v>35</v>
      </c>
      <c r="F1303" s="76">
        <v>1</v>
      </c>
      <c r="G1303" s="29">
        <v>223240</v>
      </c>
      <c r="H1303" s="50">
        <v>0.8</v>
      </c>
      <c r="I1303" s="51">
        <v>1</v>
      </c>
      <c r="J1303" s="223">
        <f>ROUND(F1303*G1303*H1303*I1303,-3)</f>
        <v>179000</v>
      </c>
      <c r="K1303" s="39">
        <f t="shared" si="130"/>
        <v>179000</v>
      </c>
      <c r="L1303" s="261">
        <f t="shared" si="128"/>
        <v>0</v>
      </c>
    </row>
    <row r="1304" spans="1:12" ht="75" customHeight="1" x14ac:dyDescent="0.25">
      <c r="A1304" s="67">
        <v>80</v>
      </c>
      <c r="B1304" s="68" t="s">
        <v>106</v>
      </c>
      <c r="C1304" s="433" t="s">
        <v>792</v>
      </c>
      <c r="D1304" s="434"/>
      <c r="E1304" s="434"/>
      <c r="F1304" s="434"/>
      <c r="G1304" s="434"/>
      <c r="H1304" s="434"/>
      <c r="I1304" s="435"/>
      <c r="J1304" s="221">
        <f>SUM(J1306:J1312)</f>
        <v>32770000</v>
      </c>
      <c r="K1304" s="39">
        <f t="shared" si="130"/>
        <v>0</v>
      </c>
      <c r="L1304" s="261">
        <f t="shared" si="128"/>
        <v>32770000</v>
      </c>
    </row>
    <row r="1305" spans="1:12" ht="75" customHeight="1" x14ac:dyDescent="0.25">
      <c r="A1305" s="110"/>
      <c r="B1305" s="111"/>
      <c r="C1305" s="20" t="s">
        <v>793</v>
      </c>
      <c r="D1305" s="26"/>
      <c r="E1305" s="27" t="s">
        <v>23</v>
      </c>
      <c r="F1305" s="33">
        <v>1.7</v>
      </c>
      <c r="G1305" s="493" t="s">
        <v>1125</v>
      </c>
      <c r="H1305" s="494"/>
      <c r="I1305" s="494"/>
      <c r="J1305" s="227"/>
      <c r="K1305" s="39"/>
      <c r="L1305" s="261">
        <f t="shared" si="128"/>
        <v>0</v>
      </c>
    </row>
    <row r="1306" spans="1:12" ht="45" x14ac:dyDescent="0.3">
      <c r="A1306" s="93"/>
      <c r="B1306" s="94"/>
      <c r="C1306" s="70" t="s">
        <v>916</v>
      </c>
      <c r="D1306" s="34" t="s">
        <v>51</v>
      </c>
      <c r="E1306" s="27" t="s">
        <v>23</v>
      </c>
      <c r="F1306" s="99">
        <f>5*3.9</f>
        <v>19.5</v>
      </c>
      <c r="G1306" s="29">
        <v>453000</v>
      </c>
      <c r="H1306" s="37">
        <v>0.8</v>
      </c>
      <c r="I1306" s="31">
        <v>1.1479999999999999</v>
      </c>
      <c r="J1306" s="223">
        <f t="shared" ref="J1306:J1312" si="131">ROUND(F1306*G1306*H1306*I1306,-3)</f>
        <v>8113000</v>
      </c>
      <c r="K1306" s="39">
        <f t="shared" si="130"/>
        <v>8113000</v>
      </c>
      <c r="L1306" s="261">
        <f t="shared" si="128"/>
        <v>0</v>
      </c>
    </row>
    <row r="1307" spans="1:12" ht="45" x14ac:dyDescent="0.3">
      <c r="A1307" s="69"/>
      <c r="B1307" s="8"/>
      <c r="C1307" s="82" t="s">
        <v>917</v>
      </c>
      <c r="D1307" s="119" t="s">
        <v>107</v>
      </c>
      <c r="E1307" s="63" t="s">
        <v>23</v>
      </c>
      <c r="F1307" s="89">
        <f>3*0.7+1.2*1.95+0.5*3</f>
        <v>5.9399999999999995</v>
      </c>
      <c r="G1307" s="120">
        <v>792000</v>
      </c>
      <c r="H1307" s="37">
        <v>0.8</v>
      </c>
      <c r="I1307" s="57">
        <v>1.1479999999999999</v>
      </c>
      <c r="J1307" s="226">
        <f t="shared" si="131"/>
        <v>4321000</v>
      </c>
      <c r="K1307" s="39">
        <f t="shared" si="130"/>
        <v>4321000</v>
      </c>
      <c r="L1307" s="261">
        <f t="shared" si="128"/>
        <v>0</v>
      </c>
    </row>
    <row r="1308" spans="1:12" ht="45" x14ac:dyDescent="0.3">
      <c r="A1308" s="69"/>
      <c r="B1308" s="8"/>
      <c r="C1308" s="82" t="s">
        <v>881</v>
      </c>
      <c r="D1308" s="34" t="s">
        <v>101</v>
      </c>
      <c r="E1308" s="71" t="s">
        <v>23</v>
      </c>
      <c r="F1308" s="89">
        <f>0.5*1.2+6*5</f>
        <v>30.6</v>
      </c>
      <c r="G1308" s="29">
        <v>339000</v>
      </c>
      <c r="H1308" s="37">
        <v>0.8</v>
      </c>
      <c r="I1308" s="31">
        <v>1.1479999999999999</v>
      </c>
      <c r="J1308" s="223">
        <f t="shared" si="131"/>
        <v>9527000</v>
      </c>
      <c r="K1308" s="39">
        <f t="shared" si="130"/>
        <v>9527000</v>
      </c>
      <c r="L1308" s="261">
        <f t="shared" si="128"/>
        <v>0</v>
      </c>
    </row>
    <row r="1309" spans="1:12" ht="45" x14ac:dyDescent="0.3">
      <c r="A1309" s="69"/>
      <c r="B1309" s="8"/>
      <c r="C1309" s="82" t="s">
        <v>794</v>
      </c>
      <c r="D1309" s="26" t="s">
        <v>161</v>
      </c>
      <c r="E1309" s="71" t="s">
        <v>23</v>
      </c>
      <c r="F1309" s="89">
        <f>3.7*2.4</f>
        <v>8.8800000000000008</v>
      </c>
      <c r="G1309" s="11">
        <v>396000</v>
      </c>
      <c r="H1309" s="37">
        <v>0.8</v>
      </c>
      <c r="I1309" s="31">
        <v>1.1479999999999999</v>
      </c>
      <c r="J1309" s="223">
        <f t="shared" si="131"/>
        <v>3230000</v>
      </c>
      <c r="K1309" s="39">
        <f t="shared" si="130"/>
        <v>3230000</v>
      </c>
      <c r="L1309" s="261">
        <f t="shared" si="128"/>
        <v>0</v>
      </c>
    </row>
    <row r="1310" spans="1:12" ht="45" x14ac:dyDescent="0.3">
      <c r="A1310" s="69"/>
      <c r="B1310" s="8"/>
      <c r="C1310" s="82" t="s">
        <v>795</v>
      </c>
      <c r="D1310" s="42" t="s">
        <v>32</v>
      </c>
      <c r="E1310" s="27" t="s">
        <v>23</v>
      </c>
      <c r="F1310" s="89">
        <f>5.6*5</f>
        <v>28</v>
      </c>
      <c r="G1310" s="29">
        <v>215000</v>
      </c>
      <c r="H1310" s="30">
        <v>0.8</v>
      </c>
      <c r="I1310" s="31">
        <v>1.1479999999999999</v>
      </c>
      <c r="J1310" s="223">
        <f t="shared" si="131"/>
        <v>5529000</v>
      </c>
      <c r="K1310" s="39">
        <f t="shared" si="130"/>
        <v>5529000</v>
      </c>
      <c r="L1310" s="261">
        <f t="shared" si="128"/>
        <v>0</v>
      </c>
    </row>
    <row r="1311" spans="1:12" ht="45" x14ac:dyDescent="0.3">
      <c r="A1311" s="69"/>
      <c r="B1311" s="8"/>
      <c r="C1311" s="82" t="s">
        <v>796</v>
      </c>
      <c r="D1311" s="44" t="s">
        <v>33</v>
      </c>
      <c r="E1311" s="27" t="s">
        <v>23</v>
      </c>
      <c r="F1311" s="89">
        <f>1.8*1.6</f>
        <v>2.8800000000000003</v>
      </c>
      <c r="G1311" s="29">
        <v>453000</v>
      </c>
      <c r="H1311" s="45">
        <v>0.8</v>
      </c>
      <c r="I1311" s="31">
        <v>1.1479999999999999</v>
      </c>
      <c r="J1311" s="223">
        <f t="shared" si="131"/>
        <v>1198000</v>
      </c>
      <c r="K1311" s="39">
        <f t="shared" si="130"/>
        <v>1198000</v>
      </c>
      <c r="L1311" s="261">
        <f t="shared" si="128"/>
        <v>0</v>
      </c>
    </row>
    <row r="1312" spans="1:12" ht="30" x14ac:dyDescent="0.3">
      <c r="A1312" s="69"/>
      <c r="B1312" s="8"/>
      <c r="C1312" s="82" t="s">
        <v>797</v>
      </c>
      <c r="D1312" s="189" t="s">
        <v>58</v>
      </c>
      <c r="E1312" s="27" t="s">
        <v>35</v>
      </c>
      <c r="F1312" s="89">
        <v>1</v>
      </c>
      <c r="G1312" s="29">
        <v>1065100</v>
      </c>
      <c r="H1312" s="50">
        <v>0.8</v>
      </c>
      <c r="I1312" s="51">
        <v>1</v>
      </c>
      <c r="J1312" s="229">
        <f t="shared" si="131"/>
        <v>852000</v>
      </c>
      <c r="K1312" s="39">
        <f t="shared" si="130"/>
        <v>852000</v>
      </c>
      <c r="L1312" s="261">
        <f t="shared" si="128"/>
        <v>0</v>
      </c>
    </row>
    <row r="1313" spans="1:13" ht="75" customHeight="1" x14ac:dyDescent="0.25">
      <c r="A1313" s="67">
        <v>81</v>
      </c>
      <c r="B1313" s="68" t="s">
        <v>798</v>
      </c>
      <c r="C1313" s="433" t="s">
        <v>799</v>
      </c>
      <c r="D1313" s="434"/>
      <c r="E1313" s="434"/>
      <c r="F1313" s="434"/>
      <c r="G1313" s="434"/>
      <c r="H1313" s="434"/>
      <c r="I1313" s="435"/>
      <c r="J1313" s="221">
        <f>SUM(J1314:J1322)</f>
        <v>80453000</v>
      </c>
      <c r="K1313" s="39">
        <f t="shared" si="130"/>
        <v>0</v>
      </c>
      <c r="L1313" s="261">
        <f t="shared" si="128"/>
        <v>80453000</v>
      </c>
    </row>
    <row r="1314" spans="1:13" ht="75" customHeight="1" x14ac:dyDescent="0.25">
      <c r="A1314" s="211"/>
      <c r="B1314" s="17"/>
      <c r="C1314" s="20" t="s">
        <v>1129</v>
      </c>
      <c r="D1314" s="26"/>
      <c r="E1314" s="27" t="s">
        <v>23</v>
      </c>
      <c r="F1314" s="33">
        <v>1.4</v>
      </c>
      <c r="G1314" s="296">
        <v>26450000</v>
      </c>
      <c r="H1314" s="299">
        <v>1</v>
      </c>
      <c r="I1314" s="298">
        <v>1.2</v>
      </c>
      <c r="J1314" s="223">
        <f>ROUND(F1314*G1314*H1314*I1314,-3)</f>
        <v>44436000</v>
      </c>
      <c r="K1314" s="39">
        <f t="shared" si="130"/>
        <v>44436000</v>
      </c>
      <c r="L1314" s="261">
        <f t="shared" si="128"/>
        <v>0</v>
      </c>
    </row>
    <row r="1315" spans="1:13" ht="75" customHeight="1" x14ac:dyDescent="0.25">
      <c r="A1315" s="211"/>
      <c r="B1315" s="17"/>
      <c r="C1315" s="20" t="s">
        <v>1130</v>
      </c>
      <c r="D1315" s="26"/>
      <c r="E1315" s="27" t="s">
        <v>23</v>
      </c>
      <c r="F1315" s="33">
        <v>1.3</v>
      </c>
      <c r="G1315" s="493" t="s">
        <v>1133</v>
      </c>
      <c r="H1315" s="494"/>
      <c r="I1315" s="494"/>
      <c r="J1315" s="227" t="s">
        <v>1131</v>
      </c>
      <c r="K1315" s="39"/>
      <c r="L1315" s="261">
        <f t="shared" si="128"/>
        <v>0</v>
      </c>
    </row>
    <row r="1316" spans="1:13" ht="45" x14ac:dyDescent="0.25">
      <c r="A1316" s="67"/>
      <c r="B1316" s="68"/>
      <c r="C1316" s="25" t="s">
        <v>918</v>
      </c>
      <c r="D1316" s="9" t="s">
        <v>88</v>
      </c>
      <c r="E1316" s="8" t="s">
        <v>25</v>
      </c>
      <c r="F1316" s="33">
        <f>(0.55*0.55*3.2)*2</f>
        <v>1.9360000000000004</v>
      </c>
      <c r="G1316" s="11">
        <v>2828000</v>
      </c>
      <c r="H1316" s="37">
        <v>0.8</v>
      </c>
      <c r="I1316" s="31">
        <v>1.1479999999999999</v>
      </c>
      <c r="J1316" s="223">
        <f t="shared" ref="J1316:J1322" si="132">ROUND(F1316*G1316*H1316*I1316,-3)</f>
        <v>5028000</v>
      </c>
      <c r="K1316" s="39">
        <f t="shared" si="130"/>
        <v>5028000</v>
      </c>
      <c r="L1316" s="261">
        <f t="shared" si="128"/>
        <v>0</v>
      </c>
    </row>
    <row r="1317" spans="1:13" ht="45" x14ac:dyDescent="0.25">
      <c r="A1317" s="67"/>
      <c r="B1317" s="68"/>
      <c r="C1317" s="25" t="s">
        <v>800</v>
      </c>
      <c r="D1317" s="34" t="s">
        <v>28</v>
      </c>
      <c r="E1317" s="27" t="s">
        <v>23</v>
      </c>
      <c r="F1317" s="33">
        <f>(0.55*3)*5</f>
        <v>8.25</v>
      </c>
      <c r="G1317" s="11">
        <v>396000</v>
      </c>
      <c r="H1317" s="38">
        <v>0.8</v>
      </c>
      <c r="I1317" s="31">
        <v>1.1479999999999999</v>
      </c>
      <c r="J1317" s="223">
        <f t="shared" si="132"/>
        <v>3000000</v>
      </c>
      <c r="K1317" s="39">
        <f t="shared" si="130"/>
        <v>3000000</v>
      </c>
      <c r="L1317" s="261">
        <f t="shared" si="128"/>
        <v>0</v>
      </c>
    </row>
    <row r="1318" spans="1:13" ht="45" x14ac:dyDescent="0.25">
      <c r="A1318" s="67"/>
      <c r="B1318" s="68"/>
      <c r="C1318" s="25" t="s">
        <v>801</v>
      </c>
      <c r="D1318" s="26" t="s">
        <v>26</v>
      </c>
      <c r="E1318" s="27" t="s">
        <v>23</v>
      </c>
      <c r="F1318" s="33">
        <f>4.1*3</f>
        <v>12.299999999999999</v>
      </c>
      <c r="G1318" s="29">
        <v>679000</v>
      </c>
      <c r="H1318" s="30">
        <v>1</v>
      </c>
      <c r="I1318" s="31">
        <v>1.1479999999999999</v>
      </c>
      <c r="J1318" s="223">
        <f t="shared" si="132"/>
        <v>9588000</v>
      </c>
      <c r="K1318" s="39">
        <f t="shared" si="130"/>
        <v>9588000</v>
      </c>
      <c r="L1318" s="261">
        <f t="shared" si="128"/>
        <v>0</v>
      </c>
    </row>
    <row r="1319" spans="1:13" ht="45" x14ac:dyDescent="0.25">
      <c r="A1319" s="67"/>
      <c r="B1319" s="68"/>
      <c r="C1319" s="25" t="s">
        <v>802</v>
      </c>
      <c r="D1319" s="44" t="s">
        <v>33</v>
      </c>
      <c r="E1319" s="144" t="s">
        <v>91</v>
      </c>
      <c r="F1319" s="33">
        <f>5*0.5</f>
        <v>2.5</v>
      </c>
      <c r="G1319" s="100">
        <v>453000</v>
      </c>
      <c r="H1319" s="101">
        <v>0.8</v>
      </c>
      <c r="I1319" s="102">
        <v>1.1479999999999999</v>
      </c>
      <c r="J1319" s="222">
        <f t="shared" si="132"/>
        <v>1040000</v>
      </c>
      <c r="K1319" s="39">
        <f t="shared" si="130"/>
        <v>1040000</v>
      </c>
      <c r="L1319" s="261">
        <f t="shared" si="128"/>
        <v>0</v>
      </c>
    </row>
    <row r="1320" spans="1:13" ht="45" x14ac:dyDescent="0.25">
      <c r="A1320" s="67"/>
      <c r="B1320" s="68"/>
      <c r="C1320" s="25" t="s">
        <v>920</v>
      </c>
      <c r="D1320" s="34" t="s">
        <v>51</v>
      </c>
      <c r="E1320" s="27" t="s">
        <v>23</v>
      </c>
      <c r="F1320" s="33">
        <f>5.3*1</f>
        <v>5.3</v>
      </c>
      <c r="G1320" s="29">
        <v>453000</v>
      </c>
      <c r="H1320" s="37">
        <v>0.8</v>
      </c>
      <c r="I1320" s="31">
        <v>1.1479999999999999</v>
      </c>
      <c r="J1320" s="223">
        <f t="shared" si="132"/>
        <v>2205000</v>
      </c>
      <c r="K1320" s="39">
        <f t="shared" si="130"/>
        <v>2205000</v>
      </c>
      <c r="L1320" s="261">
        <f t="shared" si="128"/>
        <v>0</v>
      </c>
    </row>
    <row r="1321" spans="1:13" ht="45" x14ac:dyDescent="0.25">
      <c r="A1321" s="67"/>
      <c r="B1321" s="68"/>
      <c r="C1321" s="25" t="s">
        <v>919</v>
      </c>
      <c r="D1321" s="34" t="s">
        <v>55</v>
      </c>
      <c r="E1321" s="27" t="s">
        <v>23</v>
      </c>
      <c r="F1321" s="33">
        <f>5*1.2</f>
        <v>6</v>
      </c>
      <c r="G1321" s="29">
        <v>905000</v>
      </c>
      <c r="H1321" s="52">
        <v>0.8</v>
      </c>
      <c r="I1321" s="57">
        <v>1.1479999999999999</v>
      </c>
      <c r="J1321" s="223">
        <f t="shared" si="132"/>
        <v>4987000</v>
      </c>
      <c r="K1321" s="39">
        <f t="shared" si="130"/>
        <v>4987000</v>
      </c>
      <c r="L1321" s="261">
        <f t="shared" si="128"/>
        <v>0</v>
      </c>
    </row>
    <row r="1322" spans="1:13" ht="45" x14ac:dyDescent="0.25">
      <c r="A1322" s="67"/>
      <c r="B1322" s="68"/>
      <c r="C1322" s="25" t="s">
        <v>803</v>
      </c>
      <c r="D1322" s="42" t="s">
        <v>32</v>
      </c>
      <c r="E1322" s="27" t="s">
        <v>23</v>
      </c>
      <c r="F1322" s="33">
        <f>5*10.3</f>
        <v>51.5</v>
      </c>
      <c r="G1322" s="29">
        <v>215000</v>
      </c>
      <c r="H1322" s="30">
        <v>0.8</v>
      </c>
      <c r="I1322" s="31">
        <v>1.1479999999999999</v>
      </c>
      <c r="J1322" s="223">
        <f t="shared" si="132"/>
        <v>10169000</v>
      </c>
      <c r="K1322" s="39">
        <f t="shared" si="130"/>
        <v>10169000</v>
      </c>
      <c r="L1322" s="261">
        <f t="shared" si="128"/>
        <v>0</v>
      </c>
    </row>
    <row r="1323" spans="1:13" s="169" customFormat="1" ht="75" customHeight="1" x14ac:dyDescent="0.25">
      <c r="A1323" s="108">
        <v>82</v>
      </c>
      <c r="B1323" s="109" t="s">
        <v>1139</v>
      </c>
      <c r="C1323" s="455" t="s">
        <v>1151</v>
      </c>
      <c r="D1323" s="456"/>
      <c r="E1323" s="456"/>
      <c r="F1323" s="456"/>
      <c r="G1323" s="456"/>
      <c r="H1323" s="456"/>
      <c r="I1323" s="457"/>
      <c r="J1323" s="221">
        <f>SUM(J1324:J1333)</f>
        <v>30289000</v>
      </c>
      <c r="K1323" s="39">
        <f t="shared" si="130"/>
        <v>0</v>
      </c>
      <c r="L1323" s="261">
        <f t="shared" si="128"/>
        <v>30289000</v>
      </c>
      <c r="M1323" s="261">
        <f t="shared" ref="M1323:M1333" si="133">J1323-K1323</f>
        <v>30289000</v>
      </c>
    </row>
    <row r="1324" spans="1:13" ht="95.25" customHeight="1" x14ac:dyDescent="0.25">
      <c r="A1324" s="67"/>
      <c r="B1324" s="68"/>
      <c r="C1324" s="20" t="s">
        <v>1140</v>
      </c>
      <c r="D1324" s="26"/>
      <c r="E1324" s="27" t="s">
        <v>23</v>
      </c>
      <c r="F1324" s="33">
        <v>6.9</v>
      </c>
      <c r="G1324" s="464" t="s">
        <v>1039</v>
      </c>
      <c r="H1324" s="464"/>
      <c r="I1324" s="465"/>
      <c r="J1324" s="227"/>
      <c r="K1324" s="39"/>
      <c r="L1324" s="261">
        <f t="shared" si="128"/>
        <v>0</v>
      </c>
      <c r="M1324" s="261">
        <f t="shared" si="133"/>
        <v>0</v>
      </c>
    </row>
    <row r="1325" spans="1:13" ht="45" x14ac:dyDescent="0.3">
      <c r="A1325" s="69"/>
      <c r="B1325" s="8"/>
      <c r="C1325" s="82" t="s">
        <v>1142</v>
      </c>
      <c r="D1325" s="26" t="s">
        <v>95</v>
      </c>
      <c r="E1325" s="71" t="s">
        <v>25</v>
      </c>
      <c r="F1325" s="89">
        <f>(4.9*0.3*0.1)*2</f>
        <v>0.29399999999999998</v>
      </c>
      <c r="G1325" s="11">
        <v>1000000</v>
      </c>
      <c r="H1325" s="45">
        <v>0.8</v>
      </c>
      <c r="I1325" s="31">
        <v>1.1479999999999999</v>
      </c>
      <c r="J1325" s="223">
        <f t="shared" ref="J1325:J1333" si="134">ROUND(F1325*G1325*H1325*I1325,-3)</f>
        <v>270000</v>
      </c>
      <c r="K1325" s="39">
        <f t="shared" si="130"/>
        <v>270000</v>
      </c>
      <c r="L1325" s="261">
        <f t="shared" si="128"/>
        <v>0</v>
      </c>
      <c r="M1325" s="261">
        <f t="shared" si="133"/>
        <v>0</v>
      </c>
    </row>
    <row r="1326" spans="1:13" ht="45" x14ac:dyDescent="0.3">
      <c r="A1326" s="69"/>
      <c r="B1326" s="8"/>
      <c r="C1326" s="82" t="s">
        <v>1143</v>
      </c>
      <c r="D1326" s="34" t="s">
        <v>28</v>
      </c>
      <c r="E1326" s="27" t="s">
        <v>23</v>
      </c>
      <c r="F1326" s="89">
        <f>(4.9*0.4)*2</f>
        <v>3.9200000000000004</v>
      </c>
      <c r="G1326" s="11">
        <v>396000</v>
      </c>
      <c r="H1326" s="38">
        <v>0.8</v>
      </c>
      <c r="I1326" s="31">
        <v>1.1479999999999999</v>
      </c>
      <c r="J1326" s="223">
        <f t="shared" si="134"/>
        <v>1426000</v>
      </c>
      <c r="K1326" s="39">
        <f t="shared" si="130"/>
        <v>1426000</v>
      </c>
      <c r="L1326" s="261">
        <f t="shared" si="128"/>
        <v>0</v>
      </c>
      <c r="M1326" s="261">
        <f t="shared" si="133"/>
        <v>0</v>
      </c>
    </row>
    <row r="1327" spans="1:13" ht="45" x14ac:dyDescent="0.3">
      <c r="A1327" s="69"/>
      <c r="B1327" s="8"/>
      <c r="C1327" s="70" t="s">
        <v>1144</v>
      </c>
      <c r="D1327" s="34" t="s">
        <v>31</v>
      </c>
      <c r="E1327" s="27" t="s">
        <v>23</v>
      </c>
      <c r="F1327" s="89">
        <f>4.2*4.9</f>
        <v>20.580000000000002</v>
      </c>
      <c r="G1327" s="29">
        <v>339000</v>
      </c>
      <c r="H1327" s="37">
        <v>0.8</v>
      </c>
      <c r="I1327" s="31">
        <v>1.1479999999999999</v>
      </c>
      <c r="J1327" s="223">
        <f t="shared" si="134"/>
        <v>6407000</v>
      </c>
      <c r="K1327" s="39">
        <f t="shared" si="130"/>
        <v>6407000</v>
      </c>
      <c r="L1327" s="261">
        <f t="shared" si="128"/>
        <v>0</v>
      </c>
      <c r="M1327" s="261">
        <f t="shared" si="133"/>
        <v>0</v>
      </c>
    </row>
    <row r="1328" spans="1:13" ht="45" x14ac:dyDescent="0.3">
      <c r="A1328" s="69"/>
      <c r="B1328" s="8"/>
      <c r="C1328" s="82" t="s">
        <v>1145</v>
      </c>
      <c r="D1328" s="42" t="s">
        <v>32</v>
      </c>
      <c r="E1328" s="27" t="s">
        <v>23</v>
      </c>
      <c r="F1328" s="89">
        <f>7.4*5.1</f>
        <v>37.74</v>
      </c>
      <c r="G1328" s="29">
        <v>215000</v>
      </c>
      <c r="H1328" s="30">
        <v>0.8</v>
      </c>
      <c r="I1328" s="31">
        <v>1.1479999999999999</v>
      </c>
      <c r="J1328" s="223">
        <f t="shared" si="134"/>
        <v>7452000</v>
      </c>
      <c r="K1328" s="39">
        <f t="shared" si="130"/>
        <v>7452000</v>
      </c>
      <c r="L1328" s="261">
        <f t="shared" si="128"/>
        <v>0</v>
      </c>
      <c r="M1328" s="261">
        <f t="shared" si="133"/>
        <v>0</v>
      </c>
    </row>
    <row r="1329" spans="1:13" ht="45" x14ac:dyDescent="0.3">
      <c r="A1329" s="69"/>
      <c r="B1329" s="8"/>
      <c r="C1329" s="82" t="s">
        <v>1146</v>
      </c>
      <c r="D1329" s="34" t="s">
        <v>55</v>
      </c>
      <c r="E1329" s="27" t="s">
        <v>23</v>
      </c>
      <c r="F1329" s="89">
        <f>5.1*2.2</f>
        <v>11.22</v>
      </c>
      <c r="G1329" s="29">
        <v>905000</v>
      </c>
      <c r="H1329" s="52">
        <v>0.8</v>
      </c>
      <c r="I1329" s="57">
        <v>1.1479999999999999</v>
      </c>
      <c r="J1329" s="223">
        <f t="shared" si="134"/>
        <v>9326000</v>
      </c>
      <c r="K1329" s="39">
        <f t="shared" si="130"/>
        <v>9326000</v>
      </c>
      <c r="L1329" s="261">
        <f t="shared" si="128"/>
        <v>0</v>
      </c>
      <c r="M1329" s="261">
        <f t="shared" si="133"/>
        <v>0</v>
      </c>
    </row>
    <row r="1330" spans="1:13" ht="45" x14ac:dyDescent="0.3">
      <c r="A1330" s="69"/>
      <c r="B1330" s="8"/>
      <c r="C1330" s="82" t="s">
        <v>1147</v>
      </c>
      <c r="D1330" s="42" t="s">
        <v>54</v>
      </c>
      <c r="E1330" s="27" t="s">
        <v>23</v>
      </c>
      <c r="F1330" s="89">
        <f>1.7*1.7+0.75*2.5+1.4*3.2</f>
        <v>9.2449999999999992</v>
      </c>
      <c r="G1330" s="46">
        <v>213000</v>
      </c>
      <c r="H1330" s="52">
        <v>0.8</v>
      </c>
      <c r="I1330" s="57">
        <v>1.1479999999999999</v>
      </c>
      <c r="J1330" s="223">
        <f t="shared" si="134"/>
        <v>1808000</v>
      </c>
      <c r="K1330" s="39">
        <f t="shared" si="130"/>
        <v>1808000</v>
      </c>
      <c r="L1330" s="261">
        <f t="shared" si="128"/>
        <v>0</v>
      </c>
      <c r="M1330" s="261">
        <f t="shared" si="133"/>
        <v>0</v>
      </c>
    </row>
    <row r="1331" spans="1:13" ht="45" x14ac:dyDescent="0.3">
      <c r="A1331" s="69"/>
      <c r="B1331" s="8"/>
      <c r="C1331" s="82" t="s">
        <v>1148</v>
      </c>
      <c r="D1331" s="34" t="s">
        <v>29</v>
      </c>
      <c r="E1331" s="27" t="s">
        <v>23</v>
      </c>
      <c r="F1331" s="89">
        <f>0.4*2.5+0.7*1.6</f>
        <v>2.12</v>
      </c>
      <c r="G1331" s="29">
        <v>792000</v>
      </c>
      <c r="H1331" s="45">
        <v>0.8</v>
      </c>
      <c r="I1331" s="31">
        <v>1.1479999999999999</v>
      </c>
      <c r="J1331" s="223">
        <f t="shared" si="134"/>
        <v>1542000</v>
      </c>
      <c r="K1331" s="39">
        <f t="shared" si="130"/>
        <v>1542000</v>
      </c>
      <c r="L1331" s="261">
        <f t="shared" si="128"/>
        <v>0</v>
      </c>
      <c r="M1331" s="261">
        <f t="shared" si="133"/>
        <v>0</v>
      </c>
    </row>
    <row r="1332" spans="1:13" ht="45" x14ac:dyDescent="0.3">
      <c r="A1332" s="69"/>
      <c r="B1332" s="8"/>
      <c r="C1332" s="82" t="s">
        <v>1149</v>
      </c>
      <c r="D1332" s="26" t="s">
        <v>24</v>
      </c>
      <c r="E1332" s="8" t="s">
        <v>25</v>
      </c>
      <c r="F1332" s="89">
        <f>5.1*0.9*0.1</f>
        <v>0.45900000000000002</v>
      </c>
      <c r="G1332" s="29">
        <v>2828000</v>
      </c>
      <c r="H1332" s="30">
        <v>0.8</v>
      </c>
      <c r="I1332" s="57">
        <v>1.1479999999999999</v>
      </c>
      <c r="J1332" s="223">
        <f t="shared" si="134"/>
        <v>1192000</v>
      </c>
      <c r="K1332" s="39">
        <f t="shared" si="130"/>
        <v>1192000</v>
      </c>
      <c r="L1332" s="261">
        <f t="shared" ref="L1332:L1395" si="135">J1332-K1332</f>
        <v>0</v>
      </c>
      <c r="M1332" s="261">
        <f t="shared" si="133"/>
        <v>0</v>
      </c>
    </row>
    <row r="1333" spans="1:13" ht="45" x14ac:dyDescent="0.3">
      <c r="A1333" s="69"/>
      <c r="B1333" s="8"/>
      <c r="C1333" s="82" t="s">
        <v>1150</v>
      </c>
      <c r="D1333" s="34" t="s">
        <v>80</v>
      </c>
      <c r="E1333" s="71" t="s">
        <v>23</v>
      </c>
      <c r="F1333" s="89">
        <f>4.9*0.5</f>
        <v>2.4500000000000002</v>
      </c>
      <c r="G1333" s="29">
        <v>385000</v>
      </c>
      <c r="H1333" s="37">
        <v>0.8</v>
      </c>
      <c r="I1333" s="31">
        <v>1.1479999999999999</v>
      </c>
      <c r="J1333" s="223">
        <f t="shared" si="134"/>
        <v>866000</v>
      </c>
      <c r="K1333" s="39">
        <f t="shared" si="130"/>
        <v>866000</v>
      </c>
      <c r="L1333" s="261">
        <f t="shared" si="135"/>
        <v>0</v>
      </c>
      <c r="M1333" s="261">
        <f t="shared" si="133"/>
        <v>0</v>
      </c>
    </row>
    <row r="1334" spans="1:13" ht="75" customHeight="1" x14ac:dyDescent="0.25">
      <c r="A1334" s="108">
        <v>83</v>
      </c>
      <c r="B1334" s="109" t="s">
        <v>242</v>
      </c>
      <c r="C1334" s="433" t="s">
        <v>804</v>
      </c>
      <c r="D1334" s="434"/>
      <c r="E1334" s="434"/>
      <c r="F1334" s="434"/>
      <c r="G1334" s="434"/>
      <c r="H1334" s="434"/>
      <c r="I1334" s="435"/>
      <c r="J1334" s="221">
        <f>SUM(J1335:J1343)</f>
        <v>69141000</v>
      </c>
      <c r="K1334" s="39">
        <f t="shared" si="130"/>
        <v>0</v>
      </c>
      <c r="L1334" s="261">
        <f t="shared" si="135"/>
        <v>69141000</v>
      </c>
    </row>
    <row r="1335" spans="1:13" ht="75" customHeight="1" x14ac:dyDescent="0.25">
      <c r="A1335" s="67"/>
      <c r="B1335" s="68"/>
      <c r="C1335" s="20" t="s">
        <v>805</v>
      </c>
      <c r="D1335" s="26"/>
      <c r="E1335" s="27" t="s">
        <v>23</v>
      </c>
      <c r="F1335" s="33">
        <v>2.8</v>
      </c>
      <c r="G1335" s="464" t="s">
        <v>1039</v>
      </c>
      <c r="H1335" s="464"/>
      <c r="I1335" s="465"/>
      <c r="J1335" s="227"/>
      <c r="K1335" s="39"/>
      <c r="L1335" s="261">
        <f t="shared" si="135"/>
        <v>0</v>
      </c>
    </row>
    <row r="1336" spans="1:13" ht="75" customHeight="1" x14ac:dyDescent="0.3">
      <c r="A1336" s="69"/>
      <c r="B1336" s="8"/>
      <c r="C1336" s="82" t="s">
        <v>806</v>
      </c>
      <c r="D1336" s="81" t="s">
        <v>63</v>
      </c>
      <c r="E1336" s="27" t="s">
        <v>23</v>
      </c>
      <c r="F1336" s="89">
        <f>5.1*2</f>
        <v>10.199999999999999</v>
      </c>
      <c r="G1336" s="49">
        <v>2975000</v>
      </c>
      <c r="H1336" s="37">
        <v>1</v>
      </c>
      <c r="I1336" s="31">
        <v>1.1479999999999999</v>
      </c>
      <c r="J1336" s="223">
        <f>ROUND(F1336*G1336*H1336*I1336,-3)</f>
        <v>34836000</v>
      </c>
      <c r="K1336" s="39">
        <f t="shared" si="130"/>
        <v>34836000</v>
      </c>
      <c r="L1336" s="261">
        <f t="shared" si="135"/>
        <v>0</v>
      </c>
    </row>
    <row r="1337" spans="1:13" ht="45" x14ac:dyDescent="0.3">
      <c r="A1337" s="69"/>
      <c r="B1337" s="8"/>
      <c r="C1337" s="82" t="s">
        <v>807</v>
      </c>
      <c r="D1337" s="34" t="s">
        <v>68</v>
      </c>
      <c r="E1337" s="71" t="s">
        <v>23</v>
      </c>
      <c r="F1337" s="89">
        <f>4.9*2</f>
        <v>9.8000000000000007</v>
      </c>
      <c r="G1337" s="46">
        <v>213000</v>
      </c>
      <c r="H1337" s="37">
        <v>1</v>
      </c>
      <c r="I1337" s="31">
        <v>1.1479999999999999</v>
      </c>
      <c r="J1337" s="223">
        <f t="shared" ref="J1337:J1343" si="136">ROUND(F1337*G1337*H1337*I1337,-3)</f>
        <v>2396000</v>
      </c>
      <c r="K1337" s="39">
        <f t="shared" si="130"/>
        <v>2396000</v>
      </c>
      <c r="L1337" s="261">
        <f t="shared" si="135"/>
        <v>0</v>
      </c>
    </row>
    <row r="1338" spans="1:13" ht="45" x14ac:dyDescent="0.3">
      <c r="A1338" s="69"/>
      <c r="B1338" s="8"/>
      <c r="C1338" s="82" t="s">
        <v>808</v>
      </c>
      <c r="D1338" s="26" t="s">
        <v>56</v>
      </c>
      <c r="E1338" s="27" t="s">
        <v>23</v>
      </c>
      <c r="F1338" s="89">
        <f>4.9*3</f>
        <v>14.700000000000001</v>
      </c>
      <c r="G1338" s="29">
        <v>735000</v>
      </c>
      <c r="H1338" s="37">
        <v>1</v>
      </c>
      <c r="I1338" s="31">
        <v>1.1479999999999999</v>
      </c>
      <c r="J1338" s="223">
        <f t="shared" si="136"/>
        <v>12404000</v>
      </c>
      <c r="K1338" s="39">
        <f t="shared" si="130"/>
        <v>12404000</v>
      </c>
      <c r="L1338" s="261">
        <f t="shared" si="135"/>
        <v>0</v>
      </c>
    </row>
    <row r="1339" spans="1:13" ht="45" x14ac:dyDescent="0.3">
      <c r="A1339" s="69"/>
      <c r="B1339" s="8"/>
      <c r="C1339" s="82" t="s">
        <v>809</v>
      </c>
      <c r="D1339" s="42" t="s">
        <v>32</v>
      </c>
      <c r="E1339" s="27" t="s">
        <v>23</v>
      </c>
      <c r="F1339" s="89">
        <f>5.1*7.5</f>
        <v>38.25</v>
      </c>
      <c r="G1339" s="29">
        <v>215000</v>
      </c>
      <c r="H1339" s="30">
        <v>1</v>
      </c>
      <c r="I1339" s="31">
        <v>1.1479999999999999</v>
      </c>
      <c r="J1339" s="223">
        <f t="shared" si="136"/>
        <v>9441000</v>
      </c>
      <c r="K1339" s="39">
        <f t="shared" si="130"/>
        <v>9441000</v>
      </c>
      <c r="L1339" s="261">
        <f t="shared" si="135"/>
        <v>0</v>
      </c>
    </row>
    <row r="1340" spans="1:13" ht="45" x14ac:dyDescent="0.3">
      <c r="A1340" s="69"/>
      <c r="B1340" s="8"/>
      <c r="C1340" s="82" t="s">
        <v>810</v>
      </c>
      <c r="D1340" s="42" t="s">
        <v>54</v>
      </c>
      <c r="E1340" s="27" t="s">
        <v>23</v>
      </c>
      <c r="F1340" s="89">
        <f>5.1*2</f>
        <v>10.199999999999999</v>
      </c>
      <c r="G1340" s="46">
        <v>213000</v>
      </c>
      <c r="H1340" s="52">
        <v>1</v>
      </c>
      <c r="I1340" s="57">
        <v>1.1479999999999999</v>
      </c>
      <c r="J1340" s="223">
        <f t="shared" si="136"/>
        <v>2494000</v>
      </c>
      <c r="K1340" s="39">
        <f t="shared" si="130"/>
        <v>2494000</v>
      </c>
      <c r="L1340" s="261">
        <f t="shared" si="135"/>
        <v>0</v>
      </c>
    </row>
    <row r="1341" spans="1:13" ht="45" x14ac:dyDescent="0.3">
      <c r="A1341" s="69"/>
      <c r="B1341" s="8"/>
      <c r="C1341" s="82" t="s">
        <v>921</v>
      </c>
      <c r="D1341" s="34" t="s">
        <v>51</v>
      </c>
      <c r="E1341" s="27" t="s">
        <v>23</v>
      </c>
      <c r="F1341" s="89">
        <f>5.1*2.2</f>
        <v>11.22</v>
      </c>
      <c r="G1341" s="29">
        <v>453000</v>
      </c>
      <c r="H1341" s="37">
        <v>1</v>
      </c>
      <c r="I1341" s="31">
        <v>1.1479999999999999</v>
      </c>
      <c r="J1341" s="223">
        <f t="shared" si="136"/>
        <v>5835000</v>
      </c>
      <c r="K1341" s="39">
        <f t="shared" si="130"/>
        <v>5835000</v>
      </c>
      <c r="L1341" s="261">
        <f t="shared" si="135"/>
        <v>0</v>
      </c>
    </row>
    <row r="1342" spans="1:13" ht="45" x14ac:dyDescent="0.3">
      <c r="A1342" s="69"/>
      <c r="B1342" s="8"/>
      <c r="C1342" s="82" t="s">
        <v>811</v>
      </c>
      <c r="D1342" s="26" t="s">
        <v>89</v>
      </c>
      <c r="E1342" s="71" t="s">
        <v>23</v>
      </c>
      <c r="F1342" s="89">
        <f>5.1*1.2</f>
        <v>6.1199999999999992</v>
      </c>
      <c r="G1342" s="29">
        <v>11000</v>
      </c>
      <c r="H1342" s="37">
        <v>1</v>
      </c>
      <c r="I1342" s="31">
        <v>1.1479999999999999</v>
      </c>
      <c r="J1342" s="223">
        <f t="shared" si="136"/>
        <v>77000</v>
      </c>
      <c r="K1342" s="39">
        <f t="shared" si="130"/>
        <v>77000</v>
      </c>
      <c r="L1342" s="261">
        <f t="shared" si="135"/>
        <v>0</v>
      </c>
    </row>
    <row r="1343" spans="1:13" ht="45" x14ac:dyDescent="0.3">
      <c r="A1343" s="69"/>
      <c r="B1343" s="8"/>
      <c r="C1343" s="82" t="s">
        <v>812</v>
      </c>
      <c r="D1343" s="34" t="s">
        <v>52</v>
      </c>
      <c r="E1343" s="27" t="s">
        <v>23</v>
      </c>
      <c r="F1343" s="89">
        <f>5.1*1.2</f>
        <v>6.1199999999999992</v>
      </c>
      <c r="G1343" s="11" t="s">
        <v>53</v>
      </c>
      <c r="H1343" s="37">
        <v>1</v>
      </c>
      <c r="I1343" s="78">
        <v>1.1479999999999999</v>
      </c>
      <c r="J1343" s="223">
        <f t="shared" si="136"/>
        <v>1658000</v>
      </c>
      <c r="K1343" s="39">
        <f t="shared" si="130"/>
        <v>1658000</v>
      </c>
      <c r="L1343" s="261">
        <f t="shared" si="135"/>
        <v>0</v>
      </c>
    </row>
    <row r="1344" spans="1:13" ht="75" customHeight="1" x14ac:dyDescent="0.25">
      <c r="A1344" s="108">
        <v>84</v>
      </c>
      <c r="B1344" s="109" t="s">
        <v>813</v>
      </c>
      <c r="C1344" s="433" t="s">
        <v>814</v>
      </c>
      <c r="D1344" s="434"/>
      <c r="E1344" s="434"/>
      <c r="F1344" s="434"/>
      <c r="G1344" s="434"/>
      <c r="H1344" s="434"/>
      <c r="I1344" s="435"/>
      <c r="J1344" s="221">
        <f>SUM(J1345:J1356)</f>
        <v>346052000</v>
      </c>
      <c r="K1344" s="39">
        <f t="shared" si="130"/>
        <v>0</v>
      </c>
      <c r="L1344" s="261">
        <f t="shared" si="135"/>
        <v>346052000</v>
      </c>
    </row>
    <row r="1345" spans="1:13" ht="75" customHeight="1" x14ac:dyDescent="0.25">
      <c r="A1345" s="18"/>
      <c r="B1345" s="19"/>
      <c r="C1345" s="20" t="s">
        <v>1136</v>
      </c>
      <c r="D1345" s="345"/>
      <c r="E1345" s="27" t="s">
        <v>23</v>
      </c>
      <c r="F1345" s="33" t="s">
        <v>1137</v>
      </c>
      <c r="G1345" s="296">
        <v>33000</v>
      </c>
      <c r="H1345" s="299" t="s">
        <v>1138</v>
      </c>
      <c r="I1345" s="298">
        <v>1</v>
      </c>
      <c r="J1345" s="223">
        <f>ROUND(F1345*G1345*H1345*I1345,-3)</f>
        <v>53460000</v>
      </c>
      <c r="K1345" s="39">
        <f t="shared" si="130"/>
        <v>53460000</v>
      </c>
      <c r="L1345" s="261">
        <f t="shared" si="135"/>
        <v>0</v>
      </c>
    </row>
    <row r="1346" spans="1:13" ht="120.75" customHeight="1" x14ac:dyDescent="0.25">
      <c r="A1346" s="211"/>
      <c r="B1346" s="17"/>
      <c r="C1346" s="20" t="s">
        <v>1135</v>
      </c>
      <c r="D1346" s="26"/>
      <c r="E1346" s="27" t="s">
        <v>23</v>
      </c>
      <c r="F1346" s="33">
        <v>16.2</v>
      </c>
      <c r="G1346" s="296">
        <v>26450000</v>
      </c>
      <c r="H1346" s="299">
        <v>0.5</v>
      </c>
      <c r="I1346" s="298">
        <v>1</v>
      </c>
      <c r="J1346" s="223">
        <f>ROUND(F1346*G1346*H1346*I1346,-3)</f>
        <v>214245000</v>
      </c>
      <c r="K1346" s="39">
        <f t="shared" si="130"/>
        <v>214245000</v>
      </c>
      <c r="L1346" s="261">
        <f t="shared" si="135"/>
        <v>0</v>
      </c>
    </row>
    <row r="1347" spans="1:13" ht="75" customHeight="1" x14ac:dyDescent="0.25">
      <c r="A1347" s="211"/>
      <c r="B1347" s="17"/>
      <c r="C1347" s="20" t="s">
        <v>1130</v>
      </c>
      <c r="D1347" s="26"/>
      <c r="E1347" s="27" t="s">
        <v>23</v>
      </c>
      <c r="F1347" s="33">
        <v>1.3</v>
      </c>
      <c r="G1347" s="493" t="s">
        <v>1134</v>
      </c>
      <c r="H1347" s="494"/>
      <c r="I1347" s="494"/>
      <c r="J1347" s="227" t="s">
        <v>1131</v>
      </c>
      <c r="K1347" s="39"/>
      <c r="L1347" s="261">
        <f t="shared" si="135"/>
        <v>0</v>
      </c>
    </row>
    <row r="1348" spans="1:13" ht="45" x14ac:dyDescent="0.3">
      <c r="A1348" s="69"/>
      <c r="B1348" s="8"/>
      <c r="C1348" s="82" t="s">
        <v>922</v>
      </c>
      <c r="D1348" s="9" t="s">
        <v>88</v>
      </c>
      <c r="E1348" s="8" t="s">
        <v>25</v>
      </c>
      <c r="F1348" s="89">
        <f>(0.5*0.5*2.7)*2</f>
        <v>1.35</v>
      </c>
      <c r="G1348" s="11">
        <v>2828000</v>
      </c>
      <c r="H1348" s="37">
        <v>1</v>
      </c>
      <c r="I1348" s="31">
        <v>1.1479999999999999</v>
      </c>
      <c r="J1348" s="223">
        <f t="shared" ref="J1348:J1356" si="137">ROUND(F1348*G1348*H1348*I1348,-3)</f>
        <v>4383000</v>
      </c>
      <c r="K1348" s="39">
        <f t="shared" si="130"/>
        <v>4383000</v>
      </c>
      <c r="L1348" s="261">
        <f t="shared" si="135"/>
        <v>0</v>
      </c>
    </row>
    <row r="1349" spans="1:13" ht="45" x14ac:dyDescent="0.3">
      <c r="A1349" s="69"/>
      <c r="B1349" s="8"/>
      <c r="C1349" s="82" t="s">
        <v>815</v>
      </c>
      <c r="D1349" s="26" t="s">
        <v>26</v>
      </c>
      <c r="E1349" s="71" t="s">
        <v>23</v>
      </c>
      <c r="F1349" s="89">
        <f>3.7*2</f>
        <v>7.4</v>
      </c>
      <c r="G1349" s="29">
        <v>679000</v>
      </c>
      <c r="H1349" s="37">
        <v>1</v>
      </c>
      <c r="I1349" s="31">
        <v>1.1479999999999999</v>
      </c>
      <c r="J1349" s="223">
        <f t="shared" si="137"/>
        <v>5768000</v>
      </c>
      <c r="K1349" s="39">
        <f t="shared" si="130"/>
        <v>5768000</v>
      </c>
      <c r="L1349" s="261">
        <f t="shared" si="135"/>
        <v>0</v>
      </c>
    </row>
    <row r="1350" spans="1:13" ht="45" x14ac:dyDescent="0.3">
      <c r="A1350" s="69"/>
      <c r="B1350" s="8"/>
      <c r="C1350" s="82" t="s">
        <v>923</v>
      </c>
      <c r="D1350" s="34" t="s">
        <v>29</v>
      </c>
      <c r="E1350" s="27" t="s">
        <v>23</v>
      </c>
      <c r="F1350" s="89">
        <f>11*1.2</f>
        <v>13.2</v>
      </c>
      <c r="G1350" s="29">
        <v>792000</v>
      </c>
      <c r="H1350" s="37">
        <v>1</v>
      </c>
      <c r="I1350" s="31">
        <v>1.1479999999999999</v>
      </c>
      <c r="J1350" s="223">
        <f t="shared" si="137"/>
        <v>12002000</v>
      </c>
      <c r="K1350" s="39">
        <f t="shared" si="130"/>
        <v>12002000</v>
      </c>
      <c r="L1350" s="261">
        <f t="shared" si="135"/>
        <v>0</v>
      </c>
    </row>
    <row r="1351" spans="1:13" ht="45" x14ac:dyDescent="0.3">
      <c r="A1351" s="69"/>
      <c r="B1351" s="8"/>
      <c r="C1351" s="82" t="s">
        <v>816</v>
      </c>
      <c r="D1351" s="26" t="s">
        <v>24</v>
      </c>
      <c r="E1351" s="27" t="s">
        <v>25</v>
      </c>
      <c r="F1351" s="89">
        <f>(0.3*0.3*2.7)*3</f>
        <v>0.72899999999999998</v>
      </c>
      <c r="G1351" s="29">
        <v>2828000</v>
      </c>
      <c r="H1351" s="30">
        <v>1</v>
      </c>
      <c r="I1351" s="31">
        <v>1.1479999999999999</v>
      </c>
      <c r="J1351" s="223">
        <f t="shared" si="137"/>
        <v>2367000</v>
      </c>
      <c r="K1351" s="39">
        <f t="shared" ref="K1351:K1414" si="138">ROUND(F1351*G1351*H1351*I1351,-3)</f>
        <v>2367000</v>
      </c>
      <c r="L1351" s="261">
        <f t="shared" si="135"/>
        <v>0</v>
      </c>
    </row>
    <row r="1352" spans="1:13" ht="45" x14ac:dyDescent="0.3">
      <c r="A1352" s="69"/>
      <c r="B1352" s="8"/>
      <c r="C1352" s="82" t="s">
        <v>924</v>
      </c>
      <c r="D1352" s="34" t="s">
        <v>31</v>
      </c>
      <c r="E1352" s="27" t="s">
        <v>23</v>
      </c>
      <c r="F1352" s="89">
        <f>14.1*0.9</f>
        <v>12.69</v>
      </c>
      <c r="G1352" s="29">
        <v>339000</v>
      </c>
      <c r="H1352" s="37">
        <v>1</v>
      </c>
      <c r="I1352" s="31">
        <v>1.1479999999999999</v>
      </c>
      <c r="J1352" s="223">
        <f t="shared" si="137"/>
        <v>4939000</v>
      </c>
      <c r="K1352" s="39">
        <f t="shared" si="138"/>
        <v>4939000</v>
      </c>
      <c r="L1352" s="261">
        <f t="shared" si="135"/>
        <v>0</v>
      </c>
    </row>
    <row r="1353" spans="1:13" ht="45" x14ac:dyDescent="0.3">
      <c r="A1353" s="69"/>
      <c r="B1353" s="8"/>
      <c r="C1353" s="82" t="s">
        <v>817</v>
      </c>
      <c r="D1353" s="42" t="s">
        <v>32</v>
      </c>
      <c r="E1353" s="27" t="s">
        <v>23</v>
      </c>
      <c r="F1353" s="89">
        <f>9.8*20</f>
        <v>196</v>
      </c>
      <c r="G1353" s="29">
        <v>215000</v>
      </c>
      <c r="H1353" s="30">
        <v>1</v>
      </c>
      <c r="I1353" s="31">
        <v>1.1479999999999999</v>
      </c>
      <c r="J1353" s="223">
        <f t="shared" si="137"/>
        <v>48377000</v>
      </c>
      <c r="K1353" s="39">
        <f t="shared" si="138"/>
        <v>48377000</v>
      </c>
      <c r="L1353" s="261">
        <f t="shared" si="135"/>
        <v>0</v>
      </c>
    </row>
    <row r="1354" spans="1:13" ht="30" x14ac:dyDescent="0.3">
      <c r="A1354" s="69"/>
      <c r="B1354" s="8"/>
      <c r="C1354" s="82" t="s">
        <v>49</v>
      </c>
      <c r="D1354" s="26" t="s">
        <v>36</v>
      </c>
      <c r="E1354" s="27" t="s">
        <v>35</v>
      </c>
      <c r="F1354" s="76">
        <v>2</v>
      </c>
      <c r="G1354" s="49">
        <v>213020</v>
      </c>
      <c r="H1354" s="52">
        <v>1</v>
      </c>
      <c r="I1354" s="53">
        <v>1</v>
      </c>
      <c r="J1354" s="223">
        <f t="shared" si="137"/>
        <v>426000</v>
      </c>
      <c r="K1354" s="39">
        <f t="shared" si="138"/>
        <v>426000</v>
      </c>
      <c r="L1354" s="261">
        <f t="shared" si="135"/>
        <v>0</v>
      </c>
    </row>
    <row r="1355" spans="1:13" ht="45" x14ac:dyDescent="0.3">
      <c r="A1355" s="69"/>
      <c r="B1355" s="8"/>
      <c r="C1355" s="82" t="s">
        <v>818</v>
      </c>
      <c r="D1355" s="58" t="s">
        <v>41</v>
      </c>
      <c r="E1355" s="59" t="s">
        <v>42</v>
      </c>
      <c r="F1355" s="89">
        <v>1</v>
      </c>
      <c r="G1355" s="11">
        <v>31950</v>
      </c>
      <c r="H1355" s="60">
        <v>1</v>
      </c>
      <c r="I1355" s="61">
        <v>1</v>
      </c>
      <c r="J1355" s="223">
        <f t="shared" si="137"/>
        <v>32000</v>
      </c>
      <c r="K1355" s="39">
        <f t="shared" si="138"/>
        <v>32000</v>
      </c>
      <c r="L1355" s="261">
        <f t="shared" si="135"/>
        <v>0</v>
      </c>
    </row>
    <row r="1356" spans="1:13" ht="45" x14ac:dyDescent="0.3">
      <c r="A1356" s="69"/>
      <c r="B1356" s="8"/>
      <c r="C1356" s="82" t="s">
        <v>208</v>
      </c>
      <c r="D1356" s="58" t="s">
        <v>41</v>
      </c>
      <c r="E1356" s="59" t="s">
        <v>42</v>
      </c>
      <c r="F1356" s="89">
        <v>5</v>
      </c>
      <c r="G1356" s="11">
        <v>10650</v>
      </c>
      <c r="H1356" s="60">
        <v>1</v>
      </c>
      <c r="I1356" s="61">
        <v>1</v>
      </c>
      <c r="J1356" s="223">
        <f t="shared" si="137"/>
        <v>53000</v>
      </c>
      <c r="K1356" s="39">
        <f t="shared" si="138"/>
        <v>53000</v>
      </c>
      <c r="L1356" s="261">
        <f t="shared" si="135"/>
        <v>0</v>
      </c>
    </row>
    <row r="1357" spans="1:13" s="169" customFormat="1" ht="58.5" customHeight="1" x14ac:dyDescent="0.25">
      <c r="A1357" s="108">
        <v>85</v>
      </c>
      <c r="B1357" s="109" t="s">
        <v>949</v>
      </c>
      <c r="C1357" s="455" t="s">
        <v>1180</v>
      </c>
      <c r="D1357" s="456"/>
      <c r="E1357" s="456"/>
      <c r="F1357" s="456"/>
      <c r="G1357" s="456"/>
      <c r="H1357" s="456"/>
      <c r="I1357" s="457"/>
      <c r="J1357" s="221">
        <f>SUM(J1358:J1373)</f>
        <v>691002000</v>
      </c>
      <c r="K1357" s="39">
        <f t="shared" si="138"/>
        <v>0</v>
      </c>
      <c r="L1357" s="261">
        <f t="shared" si="135"/>
        <v>691002000</v>
      </c>
      <c r="M1357" s="261">
        <f t="shared" ref="M1357:M1420" si="139">J1357-K1357</f>
        <v>691002000</v>
      </c>
    </row>
    <row r="1358" spans="1:13" ht="92.25" customHeight="1" x14ac:dyDescent="0.25">
      <c r="A1358" s="67"/>
      <c r="B1358" s="68"/>
      <c r="C1358" s="20" t="s">
        <v>1129</v>
      </c>
      <c r="D1358" s="26"/>
      <c r="E1358" s="27" t="s">
        <v>23</v>
      </c>
      <c r="F1358" s="33">
        <v>29.6</v>
      </c>
      <c r="G1358" s="324">
        <v>13800000</v>
      </c>
      <c r="H1358" s="325">
        <v>0.495</v>
      </c>
      <c r="I1358" s="326">
        <v>1.2</v>
      </c>
      <c r="J1358" s="223">
        <f t="shared" ref="J1358:J1373" si="140">ROUND(F1358*G1358*H1358*I1358,-3)</f>
        <v>242637000</v>
      </c>
      <c r="K1358" s="39">
        <f t="shared" si="138"/>
        <v>242637000</v>
      </c>
      <c r="L1358" s="261">
        <f t="shared" si="135"/>
        <v>0</v>
      </c>
      <c r="M1358" s="261">
        <f t="shared" si="139"/>
        <v>0</v>
      </c>
    </row>
    <row r="1359" spans="1:13" ht="118.5" customHeight="1" x14ac:dyDescent="0.3">
      <c r="A1359" s="69"/>
      <c r="B1359" s="8"/>
      <c r="C1359" s="82" t="s">
        <v>1181</v>
      </c>
      <c r="D1359" s="81" t="s">
        <v>136</v>
      </c>
      <c r="E1359" s="27" t="s">
        <v>23</v>
      </c>
      <c r="F1359" s="89">
        <f>7.75*4.7+4.55*4.7</f>
        <v>57.81</v>
      </c>
      <c r="G1359" s="11">
        <v>5046000</v>
      </c>
      <c r="H1359" s="37">
        <v>1</v>
      </c>
      <c r="I1359" s="31">
        <v>1.1479999999999999</v>
      </c>
      <c r="J1359" s="223">
        <f t="shared" si="140"/>
        <v>334882000</v>
      </c>
      <c r="K1359" s="39">
        <f t="shared" si="138"/>
        <v>334882000</v>
      </c>
      <c r="L1359" s="261">
        <f t="shared" si="135"/>
        <v>0</v>
      </c>
      <c r="M1359" s="261">
        <f t="shared" si="139"/>
        <v>0</v>
      </c>
    </row>
    <row r="1360" spans="1:13" ht="78" customHeight="1" x14ac:dyDescent="0.3">
      <c r="A1360" s="69"/>
      <c r="B1360" s="8"/>
      <c r="C1360" s="82" t="s">
        <v>1182</v>
      </c>
      <c r="D1360" s="81" t="s">
        <v>63</v>
      </c>
      <c r="E1360" s="27" t="s">
        <v>23</v>
      </c>
      <c r="F1360" s="89">
        <f>2.1*4.7</f>
        <v>9.870000000000001</v>
      </c>
      <c r="G1360" s="49">
        <v>2975000</v>
      </c>
      <c r="H1360" s="37">
        <v>1</v>
      </c>
      <c r="I1360" s="31">
        <v>1.1479999999999999</v>
      </c>
      <c r="J1360" s="223">
        <f t="shared" si="140"/>
        <v>33709000</v>
      </c>
      <c r="K1360" s="39">
        <f t="shared" si="138"/>
        <v>33709000</v>
      </c>
      <c r="L1360" s="261">
        <f t="shared" si="135"/>
        <v>0</v>
      </c>
      <c r="M1360" s="261">
        <f t="shared" si="139"/>
        <v>0</v>
      </c>
    </row>
    <row r="1361" spans="1:13" ht="75" customHeight="1" x14ac:dyDescent="0.3">
      <c r="A1361" s="69"/>
      <c r="B1361" s="8"/>
      <c r="C1361" s="82" t="s">
        <v>1183</v>
      </c>
      <c r="D1361" s="34" t="s">
        <v>442</v>
      </c>
      <c r="E1361" s="27" t="s">
        <v>23</v>
      </c>
      <c r="F1361" s="89">
        <f>4.35*4.5+2*4.5</f>
        <v>28.574999999999999</v>
      </c>
      <c r="G1361" s="29">
        <v>527000</v>
      </c>
      <c r="H1361" s="50">
        <v>1</v>
      </c>
      <c r="I1361" s="31">
        <v>1.1479999999999999</v>
      </c>
      <c r="J1361" s="223">
        <f t="shared" si="140"/>
        <v>17288000</v>
      </c>
      <c r="K1361" s="39">
        <f t="shared" si="138"/>
        <v>17288000</v>
      </c>
      <c r="L1361" s="261">
        <f t="shared" si="135"/>
        <v>0</v>
      </c>
      <c r="M1361" s="261">
        <f t="shared" si="139"/>
        <v>0</v>
      </c>
    </row>
    <row r="1362" spans="1:13" ht="75" customHeight="1" x14ac:dyDescent="0.3">
      <c r="A1362" s="69"/>
      <c r="B1362" s="8"/>
      <c r="C1362" s="82" t="s">
        <v>1184</v>
      </c>
      <c r="D1362" s="34" t="s">
        <v>66</v>
      </c>
      <c r="E1362" s="27" t="s">
        <v>23</v>
      </c>
      <c r="F1362" s="89">
        <f>10.7*2.6+2.9*2.8+14*0.15</f>
        <v>38.04</v>
      </c>
      <c r="G1362" s="29">
        <v>339000</v>
      </c>
      <c r="H1362" s="38">
        <v>1</v>
      </c>
      <c r="I1362" s="31">
        <v>1.1479999999999999</v>
      </c>
      <c r="J1362" s="223">
        <f t="shared" si="140"/>
        <v>14804000</v>
      </c>
      <c r="K1362" s="39">
        <f t="shared" si="138"/>
        <v>14804000</v>
      </c>
      <c r="L1362" s="261">
        <f t="shared" si="135"/>
        <v>0</v>
      </c>
      <c r="M1362" s="261">
        <f t="shared" si="139"/>
        <v>0</v>
      </c>
    </row>
    <row r="1363" spans="1:13" ht="75" customHeight="1" x14ac:dyDescent="0.3">
      <c r="A1363" s="69"/>
      <c r="B1363" s="8"/>
      <c r="C1363" s="82" t="s">
        <v>1185</v>
      </c>
      <c r="D1363" s="34" t="s">
        <v>51</v>
      </c>
      <c r="E1363" s="27" t="s">
        <v>23</v>
      </c>
      <c r="F1363" s="89">
        <f>4.1*4.7+4.7*2.1</f>
        <v>29.14</v>
      </c>
      <c r="G1363" s="29">
        <v>453000</v>
      </c>
      <c r="H1363" s="37">
        <v>1</v>
      </c>
      <c r="I1363" s="31">
        <v>1.1479999999999999</v>
      </c>
      <c r="J1363" s="223">
        <f t="shared" si="140"/>
        <v>15154000</v>
      </c>
      <c r="K1363" s="39">
        <f t="shared" si="138"/>
        <v>15154000</v>
      </c>
      <c r="L1363" s="261">
        <f t="shared" si="135"/>
        <v>0</v>
      </c>
      <c r="M1363" s="261">
        <f t="shared" si="139"/>
        <v>0</v>
      </c>
    </row>
    <row r="1364" spans="1:13" ht="75" customHeight="1" x14ac:dyDescent="0.3">
      <c r="A1364" s="69"/>
      <c r="B1364" s="8"/>
      <c r="C1364" s="82" t="s">
        <v>1186</v>
      </c>
      <c r="D1364" s="34" t="s">
        <v>66</v>
      </c>
      <c r="E1364" s="27" t="s">
        <v>23</v>
      </c>
      <c r="F1364" s="89">
        <f>(1.6*0.6)*6+5.1*1.8+4.9*1.8</f>
        <v>23.759999999999998</v>
      </c>
      <c r="G1364" s="29">
        <v>339000</v>
      </c>
      <c r="H1364" s="37">
        <v>1</v>
      </c>
      <c r="I1364" s="31">
        <v>1.1479999999999999</v>
      </c>
      <c r="J1364" s="223">
        <f t="shared" si="140"/>
        <v>9247000</v>
      </c>
      <c r="K1364" s="39">
        <f t="shared" si="138"/>
        <v>9247000</v>
      </c>
      <c r="L1364" s="261">
        <f t="shared" si="135"/>
        <v>0</v>
      </c>
      <c r="M1364" s="261">
        <f t="shared" si="139"/>
        <v>0</v>
      </c>
    </row>
    <row r="1365" spans="1:13" ht="75" customHeight="1" x14ac:dyDescent="0.3">
      <c r="A1365" s="69"/>
      <c r="B1365" s="8"/>
      <c r="C1365" s="82" t="s">
        <v>1187</v>
      </c>
      <c r="D1365" s="44" t="s">
        <v>33</v>
      </c>
      <c r="E1365" s="27" t="s">
        <v>23</v>
      </c>
      <c r="F1365" s="89">
        <f>6.7*0.7+12.1*0.75</f>
        <v>13.764999999999999</v>
      </c>
      <c r="G1365" s="29">
        <v>453000</v>
      </c>
      <c r="H1365" s="45">
        <v>1</v>
      </c>
      <c r="I1365" s="31">
        <v>1.1479999999999999</v>
      </c>
      <c r="J1365" s="223">
        <f t="shared" si="140"/>
        <v>7158000</v>
      </c>
      <c r="K1365" s="39">
        <f t="shared" si="138"/>
        <v>7158000</v>
      </c>
      <c r="L1365" s="261">
        <f t="shared" si="135"/>
        <v>0</v>
      </c>
      <c r="M1365" s="261">
        <f t="shared" si="139"/>
        <v>0</v>
      </c>
    </row>
    <row r="1366" spans="1:13" ht="75" customHeight="1" x14ac:dyDescent="0.3">
      <c r="A1366" s="69"/>
      <c r="B1366" s="8"/>
      <c r="C1366" s="82" t="s">
        <v>1188</v>
      </c>
      <c r="D1366" s="26" t="s">
        <v>24</v>
      </c>
      <c r="E1366" s="8" t="s">
        <v>25</v>
      </c>
      <c r="F1366" s="89">
        <f>4.7*0.9*0.1</f>
        <v>0.42300000000000004</v>
      </c>
      <c r="G1366" s="29">
        <v>2828000</v>
      </c>
      <c r="H1366" s="30">
        <v>1</v>
      </c>
      <c r="I1366" s="57">
        <v>1.1479999999999999</v>
      </c>
      <c r="J1366" s="223">
        <f t="shared" si="140"/>
        <v>1373000</v>
      </c>
      <c r="K1366" s="39">
        <f t="shared" si="138"/>
        <v>1373000</v>
      </c>
      <c r="L1366" s="261">
        <f t="shared" si="135"/>
        <v>0</v>
      </c>
      <c r="M1366" s="261">
        <f t="shared" si="139"/>
        <v>0</v>
      </c>
    </row>
    <row r="1367" spans="1:13" ht="75" customHeight="1" x14ac:dyDescent="0.3">
      <c r="A1367" s="69"/>
      <c r="B1367" s="8"/>
      <c r="C1367" s="82" t="s">
        <v>1189</v>
      </c>
      <c r="D1367" s="185" t="s">
        <v>33</v>
      </c>
      <c r="E1367" s="165" t="s">
        <v>23</v>
      </c>
      <c r="F1367" s="89">
        <f>12.1*0.6</f>
        <v>7.26</v>
      </c>
      <c r="G1367" s="100">
        <v>453000</v>
      </c>
      <c r="H1367" s="43">
        <v>1</v>
      </c>
      <c r="I1367" s="102">
        <v>1.1479999999999999</v>
      </c>
      <c r="J1367" s="222">
        <f t="shared" si="140"/>
        <v>3776000</v>
      </c>
      <c r="K1367" s="39">
        <f t="shared" si="138"/>
        <v>3776000</v>
      </c>
      <c r="L1367" s="261">
        <f t="shared" si="135"/>
        <v>0</v>
      </c>
      <c r="M1367" s="261">
        <f t="shared" si="139"/>
        <v>0</v>
      </c>
    </row>
    <row r="1368" spans="1:13" ht="75" customHeight="1" x14ac:dyDescent="0.3">
      <c r="A1368" s="69"/>
      <c r="B1368" s="8"/>
      <c r="C1368" s="82" t="s">
        <v>321</v>
      </c>
      <c r="D1368" s="34" t="s">
        <v>38</v>
      </c>
      <c r="E1368" s="27" t="s">
        <v>39</v>
      </c>
      <c r="F1368" s="76">
        <v>2</v>
      </c>
      <c r="G1368" s="55">
        <v>1018000</v>
      </c>
      <c r="H1368" s="56">
        <v>1</v>
      </c>
      <c r="I1368" s="57">
        <v>1.1479999999999999</v>
      </c>
      <c r="J1368" s="226">
        <f t="shared" si="140"/>
        <v>2337000</v>
      </c>
      <c r="K1368" s="39">
        <f t="shared" si="138"/>
        <v>2337000</v>
      </c>
      <c r="L1368" s="261">
        <f t="shared" si="135"/>
        <v>0</v>
      </c>
      <c r="M1368" s="261">
        <f t="shared" si="139"/>
        <v>0</v>
      </c>
    </row>
    <row r="1369" spans="1:13" ht="75" customHeight="1" x14ac:dyDescent="0.3">
      <c r="A1369" s="69"/>
      <c r="B1369" s="8"/>
      <c r="C1369" s="82" t="s">
        <v>1190</v>
      </c>
      <c r="D1369" s="42" t="s">
        <v>32</v>
      </c>
      <c r="E1369" s="27" t="s">
        <v>23</v>
      </c>
      <c r="F1369" s="89">
        <f>5.4*4.7</f>
        <v>25.380000000000003</v>
      </c>
      <c r="G1369" s="29">
        <v>215000</v>
      </c>
      <c r="H1369" s="30">
        <v>1</v>
      </c>
      <c r="I1369" s="31">
        <v>1.1479999999999999</v>
      </c>
      <c r="J1369" s="223">
        <f t="shared" si="140"/>
        <v>6264000</v>
      </c>
      <c r="K1369" s="39">
        <f t="shared" si="138"/>
        <v>6264000</v>
      </c>
      <c r="L1369" s="261">
        <f t="shared" si="135"/>
        <v>0</v>
      </c>
      <c r="M1369" s="261">
        <f t="shared" si="139"/>
        <v>0</v>
      </c>
    </row>
    <row r="1370" spans="1:13" ht="75" customHeight="1" x14ac:dyDescent="0.3">
      <c r="A1370" s="69"/>
      <c r="B1370" s="8"/>
      <c r="C1370" s="82" t="s">
        <v>1191</v>
      </c>
      <c r="D1370" s="34" t="s">
        <v>29</v>
      </c>
      <c r="E1370" s="27" t="s">
        <v>23</v>
      </c>
      <c r="F1370" s="89">
        <f>(0.8*1.1)*2</f>
        <v>1.7600000000000002</v>
      </c>
      <c r="G1370" s="29">
        <v>792000</v>
      </c>
      <c r="H1370" s="45">
        <v>1</v>
      </c>
      <c r="I1370" s="31">
        <v>1.1479999999999999</v>
      </c>
      <c r="J1370" s="223">
        <f t="shared" si="140"/>
        <v>1600000</v>
      </c>
      <c r="K1370" s="39">
        <f t="shared" si="138"/>
        <v>1600000</v>
      </c>
      <c r="L1370" s="261">
        <f t="shared" si="135"/>
        <v>0</v>
      </c>
      <c r="M1370" s="261">
        <f t="shared" si="139"/>
        <v>0</v>
      </c>
    </row>
    <row r="1371" spans="1:13" ht="75" customHeight="1" x14ac:dyDescent="0.3">
      <c r="A1371" s="69"/>
      <c r="B1371" s="8"/>
      <c r="C1371" s="82" t="s">
        <v>184</v>
      </c>
      <c r="D1371" s="42" t="s">
        <v>44</v>
      </c>
      <c r="E1371" s="63" t="s">
        <v>45</v>
      </c>
      <c r="F1371" s="89">
        <v>8</v>
      </c>
      <c r="G1371" s="46">
        <v>28000</v>
      </c>
      <c r="H1371" s="56">
        <v>1</v>
      </c>
      <c r="I1371" s="57">
        <v>1.1479999999999999</v>
      </c>
      <c r="J1371" s="223">
        <f t="shared" si="140"/>
        <v>257000</v>
      </c>
      <c r="K1371" s="39">
        <f t="shared" si="138"/>
        <v>257000</v>
      </c>
      <c r="L1371" s="261">
        <f t="shared" si="135"/>
        <v>0</v>
      </c>
      <c r="M1371" s="261">
        <f t="shared" si="139"/>
        <v>0</v>
      </c>
    </row>
    <row r="1372" spans="1:13" ht="75" customHeight="1" x14ac:dyDescent="0.3">
      <c r="A1372" s="69"/>
      <c r="B1372" s="8"/>
      <c r="C1372" s="82" t="s">
        <v>185</v>
      </c>
      <c r="D1372" s="42" t="s">
        <v>47</v>
      </c>
      <c r="E1372" s="63" t="s">
        <v>45</v>
      </c>
      <c r="F1372" s="89">
        <v>8</v>
      </c>
      <c r="G1372" s="46">
        <v>28000</v>
      </c>
      <c r="H1372" s="56">
        <v>1</v>
      </c>
      <c r="I1372" s="31">
        <v>1.1479999999999999</v>
      </c>
      <c r="J1372" s="223">
        <f t="shared" si="140"/>
        <v>257000</v>
      </c>
      <c r="K1372" s="39">
        <f t="shared" si="138"/>
        <v>257000</v>
      </c>
      <c r="L1372" s="261">
        <f t="shared" si="135"/>
        <v>0</v>
      </c>
      <c r="M1372" s="261">
        <f t="shared" si="139"/>
        <v>0</v>
      </c>
    </row>
    <row r="1373" spans="1:13" ht="75" customHeight="1" x14ac:dyDescent="0.3">
      <c r="A1373" s="69"/>
      <c r="B1373" s="8"/>
      <c r="C1373" s="82" t="s">
        <v>694</v>
      </c>
      <c r="D1373" s="34" t="s">
        <v>97</v>
      </c>
      <c r="E1373" s="71" t="s">
        <v>98</v>
      </c>
      <c r="F1373" s="76">
        <v>1</v>
      </c>
      <c r="G1373" s="36">
        <v>226000</v>
      </c>
      <c r="H1373" s="37">
        <v>1</v>
      </c>
      <c r="I1373" s="31">
        <v>1.1479999999999999</v>
      </c>
      <c r="J1373" s="223">
        <f t="shared" si="140"/>
        <v>259000</v>
      </c>
      <c r="K1373" s="39">
        <f t="shared" si="138"/>
        <v>259000</v>
      </c>
      <c r="L1373" s="261">
        <f t="shared" si="135"/>
        <v>0</v>
      </c>
      <c r="M1373" s="261">
        <f t="shared" si="139"/>
        <v>0</v>
      </c>
    </row>
    <row r="1374" spans="1:13" s="169" customFormat="1" ht="75" customHeight="1" x14ac:dyDescent="0.25">
      <c r="A1374" s="108">
        <v>86</v>
      </c>
      <c r="B1374" s="109" t="s">
        <v>213</v>
      </c>
      <c r="C1374" s="455" t="s">
        <v>1192</v>
      </c>
      <c r="D1374" s="456"/>
      <c r="E1374" s="456"/>
      <c r="F1374" s="456"/>
      <c r="G1374" s="456"/>
      <c r="H1374" s="456"/>
      <c r="I1374" s="457"/>
      <c r="J1374" s="221">
        <f>SUM(J1375:J1382)</f>
        <v>883855000</v>
      </c>
      <c r="K1374" s="39">
        <f t="shared" si="138"/>
        <v>0</v>
      </c>
      <c r="L1374" s="261">
        <f t="shared" si="135"/>
        <v>883855000</v>
      </c>
      <c r="M1374" s="261">
        <f t="shared" si="139"/>
        <v>883855000</v>
      </c>
    </row>
    <row r="1375" spans="1:13" ht="123" customHeight="1" x14ac:dyDescent="0.25">
      <c r="A1375" s="67"/>
      <c r="B1375" s="68"/>
      <c r="C1375" s="20" t="s">
        <v>1129</v>
      </c>
      <c r="D1375" s="26" t="s">
        <v>1199</v>
      </c>
      <c r="E1375" s="27" t="s">
        <v>23</v>
      </c>
      <c r="F1375" s="33">
        <v>42.3</v>
      </c>
      <c r="G1375" s="324">
        <v>13800000</v>
      </c>
      <c r="H1375" s="327">
        <v>1</v>
      </c>
      <c r="I1375" s="326">
        <v>1.2</v>
      </c>
      <c r="J1375" s="223">
        <f t="shared" ref="J1375:J1382" si="141">ROUND(F1375*G1375*H1375*I1375,-3)</f>
        <v>700488000</v>
      </c>
      <c r="K1375" s="39">
        <f t="shared" si="138"/>
        <v>700488000</v>
      </c>
      <c r="L1375" s="261">
        <f t="shared" si="135"/>
        <v>0</v>
      </c>
      <c r="M1375" s="261">
        <f t="shared" si="139"/>
        <v>0</v>
      </c>
    </row>
    <row r="1376" spans="1:13" ht="132" customHeight="1" x14ac:dyDescent="0.3">
      <c r="A1376" s="69"/>
      <c r="B1376" s="8"/>
      <c r="C1376" s="82" t="s">
        <v>1193</v>
      </c>
      <c r="D1376" s="81" t="s">
        <v>63</v>
      </c>
      <c r="E1376" s="27" t="s">
        <v>23</v>
      </c>
      <c r="F1376" s="89">
        <f>6.7*7.3</f>
        <v>48.91</v>
      </c>
      <c r="G1376" s="49">
        <f>2975000-99000</f>
        <v>2876000</v>
      </c>
      <c r="H1376" s="30">
        <v>1</v>
      </c>
      <c r="I1376" s="31">
        <v>1.1479999999999999</v>
      </c>
      <c r="J1376" s="223">
        <f t="shared" si="141"/>
        <v>161484000</v>
      </c>
      <c r="K1376" s="39">
        <f t="shared" si="138"/>
        <v>161484000</v>
      </c>
      <c r="L1376" s="261">
        <f t="shared" si="135"/>
        <v>0</v>
      </c>
      <c r="M1376" s="261">
        <f t="shared" si="139"/>
        <v>0</v>
      </c>
    </row>
    <row r="1377" spans="1:13" ht="78" customHeight="1" x14ac:dyDescent="0.3">
      <c r="A1377" s="69"/>
      <c r="B1377" s="8"/>
      <c r="C1377" s="70" t="s">
        <v>1194</v>
      </c>
      <c r="D1377" s="34" t="s">
        <v>51</v>
      </c>
      <c r="E1377" s="27" t="s">
        <v>23</v>
      </c>
      <c r="F1377" s="89">
        <f>6.7*1.7</f>
        <v>11.39</v>
      </c>
      <c r="G1377" s="29">
        <v>453000</v>
      </c>
      <c r="H1377" s="37">
        <v>1</v>
      </c>
      <c r="I1377" s="31">
        <v>1.1479999999999999</v>
      </c>
      <c r="J1377" s="223">
        <f t="shared" si="141"/>
        <v>5923000</v>
      </c>
      <c r="K1377" s="39">
        <f t="shared" si="138"/>
        <v>5923000</v>
      </c>
      <c r="L1377" s="261">
        <f t="shared" si="135"/>
        <v>0</v>
      </c>
      <c r="M1377" s="261">
        <f t="shared" si="139"/>
        <v>0</v>
      </c>
    </row>
    <row r="1378" spans="1:13" ht="75" customHeight="1" x14ac:dyDescent="0.3">
      <c r="A1378" s="69"/>
      <c r="B1378" s="8"/>
      <c r="C1378" s="82" t="s">
        <v>1195</v>
      </c>
      <c r="D1378" s="34" t="s">
        <v>55</v>
      </c>
      <c r="E1378" s="27" t="s">
        <v>23</v>
      </c>
      <c r="F1378" s="89">
        <f>1.5*0.9</f>
        <v>1.35</v>
      </c>
      <c r="G1378" s="29">
        <v>905000</v>
      </c>
      <c r="H1378" s="52">
        <v>1</v>
      </c>
      <c r="I1378" s="57">
        <v>1.1479999999999999</v>
      </c>
      <c r="J1378" s="223">
        <f t="shared" si="141"/>
        <v>1403000</v>
      </c>
      <c r="K1378" s="39">
        <f t="shared" si="138"/>
        <v>1403000</v>
      </c>
      <c r="L1378" s="261">
        <f t="shared" si="135"/>
        <v>0</v>
      </c>
      <c r="M1378" s="261">
        <f t="shared" si="139"/>
        <v>0</v>
      </c>
    </row>
    <row r="1379" spans="1:13" ht="75" customHeight="1" x14ac:dyDescent="0.3">
      <c r="A1379" s="69"/>
      <c r="B1379" s="8"/>
      <c r="C1379" s="82" t="s">
        <v>1196</v>
      </c>
      <c r="D1379" s="34" t="s">
        <v>52</v>
      </c>
      <c r="E1379" s="27" t="s">
        <v>23</v>
      </c>
      <c r="F1379" s="89">
        <f>6.5*1.6</f>
        <v>10.4</v>
      </c>
      <c r="G1379" s="11" t="s">
        <v>53</v>
      </c>
      <c r="H1379" s="37">
        <v>1</v>
      </c>
      <c r="I1379" s="79">
        <v>1.1479999999999999</v>
      </c>
      <c r="J1379" s="223">
        <f t="shared" si="141"/>
        <v>2818000</v>
      </c>
      <c r="K1379" s="39">
        <f t="shared" si="138"/>
        <v>2818000</v>
      </c>
      <c r="L1379" s="261">
        <f t="shared" si="135"/>
        <v>0</v>
      </c>
      <c r="M1379" s="261">
        <f t="shared" si="139"/>
        <v>0</v>
      </c>
    </row>
    <row r="1380" spans="1:13" ht="75" customHeight="1" x14ac:dyDescent="0.3">
      <c r="A1380" s="69"/>
      <c r="B1380" s="8"/>
      <c r="C1380" s="82" t="s">
        <v>1197</v>
      </c>
      <c r="D1380" s="34" t="s">
        <v>68</v>
      </c>
      <c r="E1380" s="71" t="s">
        <v>23</v>
      </c>
      <c r="F1380" s="89">
        <f>(3.6*0.8)*2+4.9*1</f>
        <v>10.66</v>
      </c>
      <c r="G1380" s="46">
        <v>213000</v>
      </c>
      <c r="H1380" s="37">
        <v>1</v>
      </c>
      <c r="I1380" s="31">
        <v>1.1479999999999999</v>
      </c>
      <c r="J1380" s="223">
        <f t="shared" si="141"/>
        <v>2607000</v>
      </c>
      <c r="K1380" s="39">
        <f t="shared" si="138"/>
        <v>2607000</v>
      </c>
      <c r="L1380" s="261">
        <f t="shared" si="135"/>
        <v>0</v>
      </c>
      <c r="M1380" s="261">
        <f t="shared" si="139"/>
        <v>0</v>
      </c>
    </row>
    <row r="1381" spans="1:13" ht="75" customHeight="1" x14ac:dyDescent="0.3">
      <c r="A1381" s="69"/>
      <c r="B1381" s="8"/>
      <c r="C1381" s="82" t="s">
        <v>1198</v>
      </c>
      <c r="D1381" s="42" t="s">
        <v>32</v>
      </c>
      <c r="E1381" s="27" t="s">
        <v>23</v>
      </c>
      <c r="F1381" s="89">
        <f>6.7*5.2</f>
        <v>34.840000000000003</v>
      </c>
      <c r="G1381" s="29">
        <v>215000</v>
      </c>
      <c r="H1381" s="30">
        <v>1</v>
      </c>
      <c r="I1381" s="31">
        <v>1.1479999999999999</v>
      </c>
      <c r="J1381" s="223">
        <f t="shared" si="141"/>
        <v>8599000</v>
      </c>
      <c r="K1381" s="39">
        <f t="shared" si="138"/>
        <v>8599000</v>
      </c>
      <c r="L1381" s="261">
        <f t="shared" si="135"/>
        <v>0</v>
      </c>
      <c r="M1381" s="261">
        <f t="shared" si="139"/>
        <v>0</v>
      </c>
    </row>
    <row r="1382" spans="1:13" ht="75" customHeight="1" x14ac:dyDescent="0.3">
      <c r="A1382" s="69"/>
      <c r="B1382" s="8"/>
      <c r="C1382" s="82" t="s">
        <v>619</v>
      </c>
      <c r="D1382" s="80" t="s">
        <v>58</v>
      </c>
      <c r="E1382" s="27" t="s">
        <v>35</v>
      </c>
      <c r="F1382" s="76">
        <v>1</v>
      </c>
      <c r="G1382" s="49">
        <v>532550</v>
      </c>
      <c r="H1382" s="50">
        <v>1</v>
      </c>
      <c r="I1382" s="51">
        <v>1</v>
      </c>
      <c r="J1382" s="223">
        <f t="shared" si="141"/>
        <v>533000</v>
      </c>
      <c r="K1382" s="39">
        <f t="shared" si="138"/>
        <v>533000</v>
      </c>
      <c r="L1382" s="261">
        <f t="shared" si="135"/>
        <v>0</v>
      </c>
      <c r="M1382" s="261">
        <f t="shared" si="139"/>
        <v>0</v>
      </c>
    </row>
    <row r="1383" spans="1:13" ht="75" customHeight="1" x14ac:dyDescent="0.25">
      <c r="A1383" s="211">
        <v>87</v>
      </c>
      <c r="B1383" s="17" t="s">
        <v>1200</v>
      </c>
      <c r="C1383" s="433" t="s">
        <v>1201</v>
      </c>
      <c r="D1383" s="434"/>
      <c r="E1383" s="434"/>
      <c r="F1383" s="434"/>
      <c r="G1383" s="434"/>
      <c r="H1383" s="434"/>
      <c r="I1383" s="435"/>
      <c r="J1383" s="221">
        <f>SUM(J1384:J1395)</f>
        <v>1147740000</v>
      </c>
      <c r="K1383" s="39">
        <f t="shared" si="138"/>
        <v>0</v>
      </c>
      <c r="L1383" s="261">
        <f t="shared" si="135"/>
        <v>1147740000</v>
      </c>
      <c r="M1383" s="261">
        <f t="shared" si="139"/>
        <v>1147740000</v>
      </c>
    </row>
    <row r="1384" spans="1:13" ht="102.75" customHeight="1" x14ac:dyDescent="0.25">
      <c r="A1384" s="211"/>
      <c r="B1384" s="17"/>
      <c r="C1384" s="20" t="s">
        <v>1129</v>
      </c>
      <c r="D1384" s="26" t="s">
        <v>1199</v>
      </c>
      <c r="E1384" s="27" t="s">
        <v>23</v>
      </c>
      <c r="F1384" s="330">
        <v>52.2</v>
      </c>
      <c r="G1384" s="49">
        <v>13800000</v>
      </c>
      <c r="H1384" s="331">
        <v>1</v>
      </c>
      <c r="I1384" s="332">
        <v>1.2</v>
      </c>
      <c r="J1384" s="32">
        <f t="shared" ref="J1384" si="142">ROUND(F1384*G1384*H1384*I1384,-3)</f>
        <v>864432000</v>
      </c>
      <c r="K1384" s="39">
        <f t="shared" si="138"/>
        <v>864432000</v>
      </c>
      <c r="L1384" s="261">
        <f t="shared" si="135"/>
        <v>0</v>
      </c>
      <c r="M1384" s="261">
        <f t="shared" si="139"/>
        <v>0</v>
      </c>
    </row>
    <row r="1385" spans="1:13" ht="111.75" customHeight="1" x14ac:dyDescent="0.3">
      <c r="A1385" s="69"/>
      <c r="B1385" s="8"/>
      <c r="C1385" s="82" t="s">
        <v>1203</v>
      </c>
      <c r="D1385" s="81" t="s">
        <v>63</v>
      </c>
      <c r="E1385" s="27" t="s">
        <v>23</v>
      </c>
      <c r="F1385" s="89">
        <f>8.65*7.4</f>
        <v>64.010000000000005</v>
      </c>
      <c r="G1385" s="49">
        <v>2975000</v>
      </c>
      <c r="H1385" s="37">
        <v>1</v>
      </c>
      <c r="I1385" s="31">
        <v>1.1479999999999999</v>
      </c>
      <c r="J1385" s="223">
        <f>ROUND(F1385*G1385*H1385*I1385,-3)</f>
        <v>218613000</v>
      </c>
      <c r="K1385" s="39">
        <f t="shared" si="138"/>
        <v>218613000</v>
      </c>
      <c r="L1385" s="261">
        <f t="shared" si="135"/>
        <v>0</v>
      </c>
      <c r="M1385" s="261">
        <f t="shared" si="139"/>
        <v>0</v>
      </c>
    </row>
    <row r="1386" spans="1:13" ht="45" x14ac:dyDescent="0.3">
      <c r="A1386" s="69"/>
      <c r="B1386" s="8"/>
      <c r="C1386" s="82" t="s">
        <v>1204</v>
      </c>
      <c r="D1386" s="34" t="s">
        <v>68</v>
      </c>
      <c r="E1386" s="168" t="s">
        <v>23</v>
      </c>
      <c r="F1386" s="89">
        <f>6.55*2.9+5.4*2.8+3.9*2.8</f>
        <v>45.034999999999997</v>
      </c>
      <c r="G1386" s="46">
        <v>213000</v>
      </c>
      <c r="H1386" s="37">
        <v>1</v>
      </c>
      <c r="I1386" s="31">
        <v>1.1479999999999999</v>
      </c>
      <c r="J1386" s="223">
        <f t="shared" ref="J1386:J1393" si="143">ROUND(F1386*G1386*H1386*I1386,-3)</f>
        <v>11012000</v>
      </c>
      <c r="K1386" s="39">
        <f t="shared" si="138"/>
        <v>11012000</v>
      </c>
      <c r="L1386" s="261">
        <f t="shared" si="135"/>
        <v>0</v>
      </c>
      <c r="M1386" s="261">
        <f t="shared" si="139"/>
        <v>0</v>
      </c>
    </row>
    <row r="1387" spans="1:13" ht="45" x14ac:dyDescent="0.3">
      <c r="A1387" s="69"/>
      <c r="B1387" s="8"/>
      <c r="C1387" s="82" t="s">
        <v>1205</v>
      </c>
      <c r="D1387" s="34" t="s">
        <v>52</v>
      </c>
      <c r="E1387" s="27" t="s">
        <v>23</v>
      </c>
      <c r="F1387" s="89">
        <f>6.95*3+6.1*3.5+2.5*1.4</f>
        <v>45.7</v>
      </c>
      <c r="G1387" s="11" t="s">
        <v>53</v>
      </c>
      <c r="H1387" s="37">
        <v>1</v>
      </c>
      <c r="I1387" s="78">
        <v>1.1479999999999999</v>
      </c>
      <c r="J1387" s="223">
        <f t="shared" si="143"/>
        <v>12381000</v>
      </c>
      <c r="K1387" s="39">
        <f t="shared" si="138"/>
        <v>12381000</v>
      </c>
      <c r="L1387" s="261">
        <f t="shared" si="135"/>
        <v>0</v>
      </c>
      <c r="M1387" s="261">
        <f t="shared" si="139"/>
        <v>0</v>
      </c>
    </row>
    <row r="1388" spans="1:13" ht="45" x14ac:dyDescent="0.3">
      <c r="A1388" s="69"/>
      <c r="B1388" s="8"/>
      <c r="C1388" s="82" t="s">
        <v>1206</v>
      </c>
      <c r="D1388" s="34" t="s">
        <v>51</v>
      </c>
      <c r="E1388" s="27" t="s">
        <v>23</v>
      </c>
      <c r="F1388" s="89">
        <f>8.65*1.4</f>
        <v>12.11</v>
      </c>
      <c r="G1388" s="29">
        <v>453000</v>
      </c>
      <c r="H1388" s="37">
        <v>1</v>
      </c>
      <c r="I1388" s="31">
        <v>1.1479999999999999</v>
      </c>
      <c r="J1388" s="223">
        <f t="shared" si="143"/>
        <v>6298000</v>
      </c>
      <c r="K1388" s="39">
        <f t="shared" si="138"/>
        <v>6298000</v>
      </c>
      <c r="L1388" s="261">
        <f t="shared" si="135"/>
        <v>0</v>
      </c>
      <c r="M1388" s="261">
        <f t="shared" si="139"/>
        <v>0</v>
      </c>
    </row>
    <row r="1389" spans="1:13" ht="45" x14ac:dyDescent="0.3">
      <c r="A1389" s="69"/>
      <c r="B1389" s="8"/>
      <c r="C1389" s="82" t="s">
        <v>1207</v>
      </c>
      <c r="D1389" s="26" t="s">
        <v>56</v>
      </c>
      <c r="E1389" s="27" t="s">
        <v>23</v>
      </c>
      <c r="F1389" s="89">
        <f>2.75*3.5</f>
        <v>9.625</v>
      </c>
      <c r="G1389" s="29">
        <v>735000</v>
      </c>
      <c r="H1389" s="37">
        <v>1</v>
      </c>
      <c r="I1389" s="31">
        <v>1.1479999999999999</v>
      </c>
      <c r="J1389" s="223">
        <f t="shared" si="143"/>
        <v>8121000</v>
      </c>
      <c r="K1389" s="39">
        <f t="shared" si="138"/>
        <v>8121000</v>
      </c>
      <c r="L1389" s="261">
        <f t="shared" si="135"/>
        <v>0</v>
      </c>
      <c r="M1389" s="261">
        <f t="shared" si="139"/>
        <v>0</v>
      </c>
    </row>
    <row r="1390" spans="1:13" ht="45" x14ac:dyDescent="0.3">
      <c r="A1390" s="69"/>
      <c r="B1390" s="8"/>
      <c r="C1390" s="82" t="s">
        <v>911</v>
      </c>
      <c r="D1390" s="34" t="s">
        <v>55</v>
      </c>
      <c r="E1390" s="27" t="s">
        <v>23</v>
      </c>
      <c r="F1390" s="89">
        <f>4.9*2.3</f>
        <v>11.27</v>
      </c>
      <c r="G1390" s="29">
        <v>905000</v>
      </c>
      <c r="H1390" s="52">
        <v>1</v>
      </c>
      <c r="I1390" s="57">
        <v>1.1479999999999999</v>
      </c>
      <c r="J1390" s="223">
        <f t="shared" si="143"/>
        <v>11709000</v>
      </c>
      <c r="K1390" s="39">
        <f t="shared" si="138"/>
        <v>11709000</v>
      </c>
      <c r="L1390" s="261">
        <f t="shared" si="135"/>
        <v>0</v>
      </c>
      <c r="M1390" s="261">
        <f t="shared" si="139"/>
        <v>0</v>
      </c>
    </row>
    <row r="1391" spans="1:13" ht="45" x14ac:dyDescent="0.3">
      <c r="A1391" s="69"/>
      <c r="B1391" s="8"/>
      <c r="C1391" s="82" t="s">
        <v>1208</v>
      </c>
      <c r="D1391" s="34" t="s">
        <v>68</v>
      </c>
      <c r="E1391" s="96" t="s">
        <v>91</v>
      </c>
      <c r="F1391" s="89">
        <f>3*1+(2.5*0.5)*2+1.5*0.4</f>
        <v>6.1</v>
      </c>
      <c r="G1391" s="46">
        <v>213000</v>
      </c>
      <c r="H1391" s="37">
        <v>1</v>
      </c>
      <c r="I1391" s="79">
        <v>1.1479999999999999</v>
      </c>
      <c r="J1391" s="223">
        <f t="shared" si="143"/>
        <v>1492000</v>
      </c>
      <c r="K1391" s="39">
        <f t="shared" si="138"/>
        <v>1492000</v>
      </c>
      <c r="L1391" s="261">
        <f t="shared" si="135"/>
        <v>0</v>
      </c>
      <c r="M1391" s="261">
        <f t="shared" si="139"/>
        <v>0</v>
      </c>
    </row>
    <row r="1392" spans="1:13" ht="45" x14ac:dyDescent="0.3">
      <c r="A1392" s="69"/>
      <c r="B1392" s="8"/>
      <c r="C1392" s="82" t="s">
        <v>1209</v>
      </c>
      <c r="D1392" s="42" t="s">
        <v>32</v>
      </c>
      <c r="E1392" s="27" t="s">
        <v>23</v>
      </c>
      <c r="F1392" s="89">
        <f>8.65*5.2</f>
        <v>44.980000000000004</v>
      </c>
      <c r="G1392" s="29">
        <v>215000</v>
      </c>
      <c r="H1392" s="30">
        <v>1</v>
      </c>
      <c r="I1392" s="31">
        <v>1.1479999999999999</v>
      </c>
      <c r="J1392" s="223">
        <f t="shared" si="143"/>
        <v>11102000</v>
      </c>
      <c r="K1392" s="39">
        <f t="shared" si="138"/>
        <v>11102000</v>
      </c>
      <c r="L1392" s="261">
        <f t="shared" si="135"/>
        <v>0</v>
      </c>
      <c r="M1392" s="261">
        <f t="shared" si="139"/>
        <v>0</v>
      </c>
    </row>
    <row r="1393" spans="1:13" ht="30" x14ac:dyDescent="0.3">
      <c r="A1393" s="117"/>
      <c r="B1393" s="118"/>
      <c r="C1393" s="82" t="s">
        <v>1210</v>
      </c>
      <c r="D1393" s="80" t="s">
        <v>58</v>
      </c>
      <c r="E1393" s="27" t="s">
        <v>35</v>
      </c>
      <c r="F1393" s="89">
        <v>2</v>
      </c>
      <c r="G1393" s="29">
        <v>1065100</v>
      </c>
      <c r="H1393" s="50">
        <v>1</v>
      </c>
      <c r="I1393" s="51">
        <v>1</v>
      </c>
      <c r="J1393" s="223">
        <f t="shared" si="143"/>
        <v>2130000</v>
      </c>
      <c r="K1393" s="39">
        <f t="shared" si="138"/>
        <v>2130000</v>
      </c>
      <c r="L1393" s="261">
        <f t="shared" si="135"/>
        <v>0</v>
      </c>
      <c r="M1393" s="261">
        <f t="shared" si="139"/>
        <v>0</v>
      </c>
    </row>
    <row r="1394" spans="1:13" ht="45" x14ac:dyDescent="0.3">
      <c r="A1394" s="69"/>
      <c r="B1394" s="8"/>
      <c r="C1394" s="113" t="s">
        <v>1211</v>
      </c>
      <c r="D1394" s="42" t="s">
        <v>47</v>
      </c>
      <c r="E1394" s="63" t="s">
        <v>45</v>
      </c>
      <c r="F1394" s="328">
        <v>7</v>
      </c>
      <c r="G1394" s="46">
        <v>28000</v>
      </c>
      <c r="H1394" s="66">
        <v>1</v>
      </c>
      <c r="I1394" s="31">
        <v>1.1479999999999999</v>
      </c>
      <c r="J1394" s="223">
        <f>ROUND(F1394*G1394*H1394*I1394,-3)</f>
        <v>225000</v>
      </c>
      <c r="K1394" s="39">
        <f t="shared" si="138"/>
        <v>225000</v>
      </c>
      <c r="L1394" s="261">
        <f t="shared" si="135"/>
        <v>0</v>
      </c>
      <c r="M1394" s="261">
        <f t="shared" si="139"/>
        <v>0</v>
      </c>
    </row>
    <row r="1395" spans="1:13" ht="45" x14ac:dyDescent="0.3">
      <c r="A1395" s="104"/>
      <c r="B1395" s="105"/>
      <c r="C1395" s="113" t="s">
        <v>187</v>
      </c>
      <c r="D1395" s="42" t="s">
        <v>47</v>
      </c>
      <c r="E1395" s="63" t="s">
        <v>45</v>
      </c>
      <c r="F1395" s="329">
        <v>7</v>
      </c>
      <c r="G1395" s="46">
        <v>28000</v>
      </c>
      <c r="H1395" s="66">
        <v>1</v>
      </c>
      <c r="I1395" s="31">
        <v>1.1479999999999999</v>
      </c>
      <c r="J1395" s="223">
        <f>ROUND(F1395*G1395*H1395*I1395,-3)</f>
        <v>225000</v>
      </c>
      <c r="K1395" s="39">
        <f t="shared" si="138"/>
        <v>225000</v>
      </c>
      <c r="L1395" s="261">
        <f t="shared" si="135"/>
        <v>0</v>
      </c>
      <c r="M1395" s="261">
        <f t="shared" si="139"/>
        <v>0</v>
      </c>
    </row>
    <row r="1396" spans="1:13" ht="75" customHeight="1" x14ac:dyDescent="0.25">
      <c r="A1396" s="211">
        <v>88</v>
      </c>
      <c r="B1396" s="17" t="s">
        <v>84</v>
      </c>
      <c r="C1396" s="433" t="s">
        <v>1212</v>
      </c>
      <c r="D1396" s="434"/>
      <c r="E1396" s="434"/>
      <c r="F1396" s="434"/>
      <c r="G1396" s="434"/>
      <c r="H1396" s="434"/>
      <c r="I1396" s="435"/>
      <c r="J1396" s="221">
        <f>SUM(J1397:J1404)</f>
        <v>122188000</v>
      </c>
      <c r="K1396" s="39">
        <f t="shared" si="138"/>
        <v>0</v>
      </c>
      <c r="L1396" s="261">
        <f t="shared" ref="L1396:L1442" si="144">J1396-K1396</f>
        <v>122188000</v>
      </c>
      <c r="M1396" s="261">
        <f t="shared" si="139"/>
        <v>122188000</v>
      </c>
    </row>
    <row r="1397" spans="1:13" ht="97.5" customHeight="1" x14ac:dyDescent="0.25">
      <c r="A1397" s="211"/>
      <c r="B1397" s="17"/>
      <c r="C1397" s="20" t="s">
        <v>1234</v>
      </c>
      <c r="D1397" s="26" t="s">
        <v>1199</v>
      </c>
      <c r="E1397" s="27" t="s">
        <v>23</v>
      </c>
      <c r="F1397" s="333">
        <v>8.4</v>
      </c>
      <c r="G1397" s="49">
        <v>7728000</v>
      </c>
      <c r="H1397" s="331">
        <v>1</v>
      </c>
      <c r="I1397" s="332">
        <v>1.2</v>
      </c>
      <c r="J1397" s="32">
        <f t="shared" ref="J1397" si="145">ROUND(F1397*G1397*H1397*I1397,-3)</f>
        <v>77898000</v>
      </c>
      <c r="K1397" s="39">
        <f t="shared" si="138"/>
        <v>77898000</v>
      </c>
      <c r="L1397" s="261">
        <f t="shared" si="144"/>
        <v>0</v>
      </c>
      <c r="M1397" s="261">
        <f t="shared" si="139"/>
        <v>0</v>
      </c>
    </row>
    <row r="1398" spans="1:13" ht="84.75" customHeight="1" x14ac:dyDescent="0.3">
      <c r="A1398" s="69"/>
      <c r="B1398" s="8"/>
      <c r="C1398" s="82" t="s">
        <v>1213</v>
      </c>
      <c r="D1398" s="81" t="s">
        <v>473</v>
      </c>
      <c r="E1398" s="27" t="s">
        <v>23</v>
      </c>
      <c r="F1398" s="89">
        <f>(3.1*4.55)*0.5</f>
        <v>7.0525000000000002</v>
      </c>
      <c r="G1398" s="29">
        <v>2749000</v>
      </c>
      <c r="H1398" s="101">
        <v>1</v>
      </c>
      <c r="I1398" s="102">
        <v>1.1479999999999999</v>
      </c>
      <c r="J1398" s="223">
        <f>ROUND(F1398*G1398*H1398*I1398,-3)</f>
        <v>22257000</v>
      </c>
      <c r="K1398" s="39">
        <f t="shared" si="138"/>
        <v>22257000</v>
      </c>
      <c r="L1398" s="261">
        <f t="shared" si="144"/>
        <v>0</v>
      </c>
      <c r="M1398" s="261">
        <f t="shared" si="139"/>
        <v>0</v>
      </c>
    </row>
    <row r="1399" spans="1:13" ht="45" x14ac:dyDescent="0.3">
      <c r="A1399" s="69"/>
      <c r="B1399" s="8"/>
      <c r="C1399" s="82" t="s">
        <v>1214</v>
      </c>
      <c r="D1399" s="34" t="s">
        <v>68</v>
      </c>
      <c r="E1399" s="168" t="s">
        <v>23</v>
      </c>
      <c r="F1399" s="89">
        <f>(2.9*4.35)*0.5</f>
        <v>6.3074999999999992</v>
      </c>
      <c r="G1399" s="46">
        <v>213000</v>
      </c>
      <c r="H1399" s="37">
        <v>1</v>
      </c>
      <c r="I1399" s="31">
        <v>1.1479999999999999</v>
      </c>
      <c r="J1399" s="223">
        <f t="shared" ref="J1399:J1404" si="146">ROUND(F1399*G1399*H1399*I1399,-3)</f>
        <v>1542000</v>
      </c>
      <c r="K1399" s="39">
        <f t="shared" si="138"/>
        <v>1542000</v>
      </c>
      <c r="L1399" s="261">
        <f t="shared" si="144"/>
        <v>0</v>
      </c>
      <c r="M1399" s="261">
        <f t="shared" si="139"/>
        <v>0</v>
      </c>
    </row>
    <row r="1400" spans="1:13" ht="45" x14ac:dyDescent="0.3">
      <c r="A1400" s="69"/>
      <c r="B1400" s="8"/>
      <c r="C1400" s="82" t="s">
        <v>1215</v>
      </c>
      <c r="D1400" s="34" t="s">
        <v>51</v>
      </c>
      <c r="E1400" s="27" t="s">
        <v>23</v>
      </c>
      <c r="F1400" s="89">
        <f>(5.3*1.3)*0.5</f>
        <v>3.4449999999999998</v>
      </c>
      <c r="G1400" s="29">
        <v>453000</v>
      </c>
      <c r="H1400" s="37">
        <v>1</v>
      </c>
      <c r="I1400" s="31">
        <v>1.1479999999999999</v>
      </c>
      <c r="J1400" s="223">
        <f t="shared" si="146"/>
        <v>1792000</v>
      </c>
      <c r="K1400" s="39">
        <f t="shared" si="138"/>
        <v>1792000</v>
      </c>
      <c r="L1400" s="261">
        <f t="shared" si="144"/>
        <v>0</v>
      </c>
      <c r="M1400" s="261">
        <f t="shared" si="139"/>
        <v>0</v>
      </c>
    </row>
    <row r="1401" spans="1:13" ht="45" x14ac:dyDescent="0.3">
      <c r="A1401" s="69"/>
      <c r="B1401" s="8"/>
      <c r="C1401" s="82" t="s">
        <v>1216</v>
      </c>
      <c r="D1401" s="34" t="s">
        <v>101</v>
      </c>
      <c r="E1401" s="71" t="s">
        <v>23</v>
      </c>
      <c r="F1401" s="89">
        <f>(5.3*1.2)*0.5</f>
        <v>3.1799999999999997</v>
      </c>
      <c r="G1401" s="29">
        <v>339000</v>
      </c>
      <c r="H1401" s="37">
        <v>1</v>
      </c>
      <c r="I1401" s="31">
        <v>1.1479999999999999</v>
      </c>
      <c r="J1401" s="223">
        <f t="shared" si="146"/>
        <v>1238000</v>
      </c>
      <c r="K1401" s="39">
        <f t="shared" si="138"/>
        <v>1238000</v>
      </c>
      <c r="L1401" s="261">
        <f t="shared" si="144"/>
        <v>0</v>
      </c>
      <c r="M1401" s="261">
        <f t="shared" si="139"/>
        <v>0</v>
      </c>
    </row>
    <row r="1402" spans="1:13" ht="45" x14ac:dyDescent="0.3">
      <c r="A1402" s="69"/>
      <c r="B1402" s="8"/>
      <c r="C1402" s="82" t="s">
        <v>1217</v>
      </c>
      <c r="D1402" s="34" t="s">
        <v>66</v>
      </c>
      <c r="E1402" s="27" t="s">
        <v>23</v>
      </c>
      <c r="F1402" s="89">
        <f>9.5*1.6</f>
        <v>15.200000000000001</v>
      </c>
      <c r="G1402" s="29">
        <v>339000</v>
      </c>
      <c r="H1402" s="38">
        <v>1</v>
      </c>
      <c r="I1402" s="31">
        <v>1.1479999999999999</v>
      </c>
      <c r="J1402" s="223">
        <f t="shared" si="146"/>
        <v>5915000</v>
      </c>
      <c r="K1402" s="39">
        <f t="shared" si="138"/>
        <v>5915000</v>
      </c>
      <c r="L1402" s="261">
        <f t="shared" si="144"/>
        <v>0</v>
      </c>
      <c r="M1402" s="261">
        <f t="shared" si="139"/>
        <v>0</v>
      </c>
    </row>
    <row r="1403" spans="1:13" ht="45" x14ac:dyDescent="0.3">
      <c r="A1403" s="69"/>
      <c r="B1403" s="8"/>
      <c r="C1403" s="82" t="s">
        <v>1218</v>
      </c>
      <c r="D1403" s="34" t="s">
        <v>52</v>
      </c>
      <c r="E1403" s="27" t="s">
        <v>23</v>
      </c>
      <c r="F1403" s="89">
        <f>5.3*2</f>
        <v>10.6</v>
      </c>
      <c r="G1403" s="11" t="s">
        <v>53</v>
      </c>
      <c r="H1403" s="37">
        <v>1</v>
      </c>
      <c r="I1403" s="78">
        <v>1.1479999999999999</v>
      </c>
      <c r="J1403" s="223">
        <f t="shared" si="146"/>
        <v>2872000</v>
      </c>
      <c r="K1403" s="39">
        <f t="shared" si="138"/>
        <v>2872000</v>
      </c>
      <c r="L1403" s="261">
        <f t="shared" si="144"/>
        <v>0</v>
      </c>
      <c r="M1403" s="261">
        <f t="shared" si="139"/>
        <v>0</v>
      </c>
    </row>
    <row r="1404" spans="1:13" ht="45" x14ac:dyDescent="0.3">
      <c r="A1404" s="69"/>
      <c r="B1404" s="8"/>
      <c r="C1404" s="82" t="s">
        <v>1219</v>
      </c>
      <c r="D1404" s="34" t="s">
        <v>29</v>
      </c>
      <c r="E1404" s="27" t="s">
        <v>23</v>
      </c>
      <c r="F1404" s="89">
        <f>5.3*1.8</f>
        <v>9.5399999999999991</v>
      </c>
      <c r="G1404" s="29">
        <v>792000</v>
      </c>
      <c r="H1404" s="37">
        <v>1</v>
      </c>
      <c r="I1404" s="31">
        <v>1.1479999999999999</v>
      </c>
      <c r="J1404" s="223">
        <f t="shared" si="146"/>
        <v>8674000</v>
      </c>
      <c r="K1404" s="39">
        <f t="shared" si="138"/>
        <v>8674000</v>
      </c>
      <c r="L1404" s="261">
        <f t="shared" si="144"/>
        <v>0</v>
      </c>
      <c r="M1404" s="261">
        <f t="shared" si="139"/>
        <v>0</v>
      </c>
    </row>
    <row r="1405" spans="1:13" ht="75" customHeight="1" x14ac:dyDescent="0.25">
      <c r="A1405" s="18">
        <v>89</v>
      </c>
      <c r="B1405" s="19" t="s">
        <v>1220</v>
      </c>
      <c r="C1405" s="455" t="s">
        <v>1221</v>
      </c>
      <c r="D1405" s="456"/>
      <c r="E1405" s="456"/>
      <c r="F1405" s="456"/>
      <c r="G1405" s="456"/>
      <c r="H1405" s="456"/>
      <c r="I1405" s="457"/>
      <c r="J1405" s="221">
        <f>SUM(J1406:J1419)</f>
        <v>921872000</v>
      </c>
      <c r="K1405" s="39">
        <f t="shared" si="138"/>
        <v>0</v>
      </c>
      <c r="L1405" s="261">
        <f t="shared" si="144"/>
        <v>921872000</v>
      </c>
      <c r="M1405" s="261">
        <f t="shared" si="139"/>
        <v>921872000</v>
      </c>
    </row>
    <row r="1406" spans="1:13" ht="101.25" customHeight="1" x14ac:dyDescent="0.25">
      <c r="A1406" s="211"/>
      <c r="B1406" s="17"/>
      <c r="C1406" s="20" t="s">
        <v>1129</v>
      </c>
      <c r="D1406" s="26" t="s">
        <v>1199</v>
      </c>
      <c r="E1406" s="27" t="s">
        <v>23</v>
      </c>
      <c r="F1406" s="333">
        <v>41.6</v>
      </c>
      <c r="G1406" s="49">
        <v>13800000</v>
      </c>
      <c r="H1406" s="331">
        <v>1</v>
      </c>
      <c r="I1406" s="332">
        <v>1.2</v>
      </c>
      <c r="J1406" s="32">
        <f t="shared" ref="J1406" si="147">ROUND(F1406*G1406*H1406*I1406,-3)</f>
        <v>688896000</v>
      </c>
      <c r="K1406" s="39">
        <f t="shared" si="138"/>
        <v>688896000</v>
      </c>
      <c r="L1406" s="261">
        <f t="shared" si="144"/>
        <v>0</v>
      </c>
      <c r="M1406" s="261">
        <f t="shared" si="139"/>
        <v>0</v>
      </c>
    </row>
    <row r="1407" spans="1:13" ht="102" customHeight="1" x14ac:dyDescent="0.3">
      <c r="A1407" s="69"/>
      <c r="B1407" s="8"/>
      <c r="C1407" s="82" t="s">
        <v>1222</v>
      </c>
      <c r="D1407" s="81" t="s">
        <v>63</v>
      </c>
      <c r="E1407" s="27" t="s">
        <v>23</v>
      </c>
      <c r="F1407" s="89">
        <f>6.65*7.25</f>
        <v>48.212500000000006</v>
      </c>
      <c r="G1407" s="49">
        <v>2975000</v>
      </c>
      <c r="H1407" s="37">
        <v>1</v>
      </c>
      <c r="I1407" s="31">
        <v>1.1479999999999999</v>
      </c>
      <c r="J1407" s="223">
        <f>ROUND(F1407*G1407*H1407*I1407,-3)</f>
        <v>164660000</v>
      </c>
      <c r="K1407" s="39">
        <f t="shared" si="138"/>
        <v>164660000</v>
      </c>
      <c r="L1407" s="261">
        <f t="shared" si="144"/>
        <v>0</v>
      </c>
      <c r="M1407" s="261">
        <f t="shared" si="139"/>
        <v>0</v>
      </c>
    </row>
    <row r="1408" spans="1:13" ht="45" x14ac:dyDescent="0.3">
      <c r="A1408" s="69"/>
      <c r="B1408" s="8"/>
      <c r="C1408" s="82" t="s">
        <v>1223</v>
      </c>
      <c r="D1408" s="34" t="s">
        <v>66</v>
      </c>
      <c r="E1408" s="27" t="s">
        <v>23</v>
      </c>
      <c r="F1408" s="89">
        <f>5.1*0.25+6*0.25+(0.6*3)*2</f>
        <v>6.375</v>
      </c>
      <c r="G1408" s="29">
        <v>339000</v>
      </c>
      <c r="H1408" s="38">
        <v>1</v>
      </c>
      <c r="I1408" s="31">
        <v>1.1479999999999999</v>
      </c>
      <c r="J1408" s="223">
        <f t="shared" ref="J1408:J1417" si="148">ROUND(F1408*G1408*H1408*I1408,-3)</f>
        <v>2481000</v>
      </c>
      <c r="K1408" s="39">
        <f t="shared" si="138"/>
        <v>2481000</v>
      </c>
      <c r="L1408" s="261">
        <f t="shared" si="144"/>
        <v>0</v>
      </c>
      <c r="M1408" s="261">
        <f t="shared" si="139"/>
        <v>0</v>
      </c>
    </row>
    <row r="1409" spans="1:13" ht="45" x14ac:dyDescent="0.3">
      <c r="A1409" s="69"/>
      <c r="B1409" s="8"/>
      <c r="C1409" s="82" t="s">
        <v>1224</v>
      </c>
      <c r="D1409" s="34" t="s">
        <v>51</v>
      </c>
      <c r="E1409" s="27" t="s">
        <v>23</v>
      </c>
      <c r="F1409" s="89">
        <f>6.65*1.6</f>
        <v>10.64</v>
      </c>
      <c r="G1409" s="29">
        <v>453000</v>
      </c>
      <c r="H1409" s="37">
        <v>1</v>
      </c>
      <c r="I1409" s="31">
        <v>1.1479999999999999</v>
      </c>
      <c r="J1409" s="223">
        <f t="shared" si="148"/>
        <v>5533000</v>
      </c>
      <c r="K1409" s="39">
        <f t="shared" si="138"/>
        <v>5533000</v>
      </c>
      <c r="L1409" s="261">
        <f t="shared" si="144"/>
        <v>0</v>
      </c>
      <c r="M1409" s="261">
        <f t="shared" si="139"/>
        <v>0</v>
      </c>
    </row>
    <row r="1410" spans="1:13" ht="45" x14ac:dyDescent="0.3">
      <c r="A1410" s="69"/>
      <c r="B1410" s="8"/>
      <c r="C1410" s="82" t="s">
        <v>1225</v>
      </c>
      <c r="D1410" s="42" t="s">
        <v>32</v>
      </c>
      <c r="E1410" s="27" t="s">
        <v>23</v>
      </c>
      <c r="F1410" s="89">
        <f>6.65*5.2</f>
        <v>34.580000000000005</v>
      </c>
      <c r="G1410" s="29">
        <v>215000</v>
      </c>
      <c r="H1410" s="30">
        <v>1</v>
      </c>
      <c r="I1410" s="31">
        <v>1.1479999999999999</v>
      </c>
      <c r="J1410" s="223">
        <f t="shared" si="148"/>
        <v>8535000</v>
      </c>
      <c r="K1410" s="39">
        <f t="shared" si="138"/>
        <v>8535000</v>
      </c>
      <c r="L1410" s="261">
        <f t="shared" si="144"/>
        <v>0</v>
      </c>
      <c r="M1410" s="261">
        <f t="shared" si="139"/>
        <v>0</v>
      </c>
    </row>
    <row r="1411" spans="1:13" ht="45" x14ac:dyDescent="0.3">
      <c r="A1411" s="69"/>
      <c r="B1411" s="8"/>
      <c r="C1411" s="82" t="s">
        <v>1226</v>
      </c>
      <c r="D1411" s="34" t="s">
        <v>52</v>
      </c>
      <c r="E1411" s="27" t="s">
        <v>23</v>
      </c>
      <c r="F1411" s="89">
        <f>(0.6*3.2)*2</f>
        <v>3.84</v>
      </c>
      <c r="G1411" s="11" t="s">
        <v>53</v>
      </c>
      <c r="H1411" s="37">
        <v>1</v>
      </c>
      <c r="I1411" s="78">
        <v>1.1479999999999999</v>
      </c>
      <c r="J1411" s="223">
        <f t="shared" si="148"/>
        <v>1040000</v>
      </c>
      <c r="K1411" s="39">
        <f t="shared" si="138"/>
        <v>1040000</v>
      </c>
      <c r="L1411" s="261">
        <f t="shared" si="144"/>
        <v>0</v>
      </c>
      <c r="M1411" s="261">
        <f t="shared" si="139"/>
        <v>0</v>
      </c>
    </row>
    <row r="1412" spans="1:13" ht="45" x14ac:dyDescent="0.3">
      <c r="A1412" s="69"/>
      <c r="B1412" s="8"/>
      <c r="C1412" s="82" t="s">
        <v>1227</v>
      </c>
      <c r="D1412" s="34" t="s">
        <v>52</v>
      </c>
      <c r="E1412" s="27" t="s">
        <v>23</v>
      </c>
      <c r="F1412" s="89">
        <f>6.65*1.5</f>
        <v>9.9750000000000014</v>
      </c>
      <c r="G1412" s="11" t="s">
        <v>53</v>
      </c>
      <c r="H1412" s="37">
        <v>1</v>
      </c>
      <c r="I1412" s="79">
        <v>1.1479999999999999</v>
      </c>
      <c r="J1412" s="223">
        <f t="shared" si="148"/>
        <v>2703000</v>
      </c>
      <c r="K1412" s="39">
        <f t="shared" si="138"/>
        <v>2703000</v>
      </c>
      <c r="L1412" s="261">
        <f t="shared" si="144"/>
        <v>0</v>
      </c>
      <c r="M1412" s="261">
        <f t="shared" si="139"/>
        <v>0</v>
      </c>
    </row>
    <row r="1413" spans="1:13" ht="45" x14ac:dyDescent="0.3">
      <c r="A1413" s="69"/>
      <c r="B1413" s="8"/>
      <c r="C1413" s="82" t="s">
        <v>1228</v>
      </c>
      <c r="D1413" s="34" t="s">
        <v>68</v>
      </c>
      <c r="E1413" s="168" t="s">
        <v>23</v>
      </c>
      <c r="F1413" s="89">
        <f>5.4*6.3+5.4*6.5</f>
        <v>69.12</v>
      </c>
      <c r="G1413" s="46">
        <v>213000</v>
      </c>
      <c r="H1413" s="37">
        <v>1</v>
      </c>
      <c r="I1413" s="31">
        <v>1.1479999999999999</v>
      </c>
      <c r="J1413" s="223">
        <f t="shared" si="148"/>
        <v>16901000</v>
      </c>
      <c r="K1413" s="39">
        <f t="shared" si="138"/>
        <v>16901000</v>
      </c>
      <c r="L1413" s="261">
        <f t="shared" si="144"/>
        <v>0</v>
      </c>
      <c r="M1413" s="261">
        <f t="shared" si="139"/>
        <v>0</v>
      </c>
    </row>
    <row r="1414" spans="1:13" ht="45" x14ac:dyDescent="0.3">
      <c r="A1414" s="69"/>
      <c r="B1414" s="8"/>
      <c r="C1414" s="82" t="s">
        <v>1229</v>
      </c>
      <c r="D1414" s="26" t="s">
        <v>24</v>
      </c>
      <c r="E1414" s="84" t="s">
        <v>25</v>
      </c>
      <c r="F1414" s="89">
        <f>6.3*0.3*0.15+6.65*0.6*0.15</f>
        <v>0.88200000000000001</v>
      </c>
      <c r="G1414" s="86">
        <v>2828000</v>
      </c>
      <c r="H1414" s="87">
        <v>1</v>
      </c>
      <c r="I1414" s="88">
        <v>1.1479999999999999</v>
      </c>
      <c r="J1414" s="223">
        <f t="shared" si="148"/>
        <v>2863000</v>
      </c>
      <c r="K1414" s="39">
        <f t="shared" si="138"/>
        <v>2863000</v>
      </c>
      <c r="L1414" s="261">
        <f t="shared" si="144"/>
        <v>0</v>
      </c>
      <c r="M1414" s="261">
        <f t="shared" si="139"/>
        <v>0</v>
      </c>
    </row>
    <row r="1415" spans="1:13" ht="45" x14ac:dyDescent="0.3">
      <c r="A1415" s="69"/>
      <c r="B1415" s="8"/>
      <c r="C1415" s="82" t="s">
        <v>1230</v>
      </c>
      <c r="D1415" s="34" t="s">
        <v>66</v>
      </c>
      <c r="E1415" s="27" t="s">
        <v>23</v>
      </c>
      <c r="F1415" s="89">
        <f>6.65*0.3+(7.25*1)*2+6.65*2</f>
        <v>29.795000000000002</v>
      </c>
      <c r="G1415" s="29">
        <v>339000</v>
      </c>
      <c r="H1415" s="38">
        <v>1</v>
      </c>
      <c r="I1415" s="31">
        <v>1.1479999999999999</v>
      </c>
      <c r="J1415" s="223">
        <f t="shared" si="148"/>
        <v>11595000</v>
      </c>
      <c r="K1415" s="39">
        <f t="shared" ref="K1415:K1442" si="149">ROUND(F1415*G1415*H1415*I1415,-3)</f>
        <v>11595000</v>
      </c>
      <c r="L1415" s="261">
        <f t="shared" si="144"/>
        <v>0</v>
      </c>
      <c r="M1415" s="261">
        <f t="shared" si="139"/>
        <v>0</v>
      </c>
    </row>
    <row r="1416" spans="1:13" ht="45" x14ac:dyDescent="0.3">
      <c r="A1416" s="69"/>
      <c r="B1416" s="8"/>
      <c r="C1416" s="82" t="s">
        <v>1231</v>
      </c>
      <c r="D1416" s="26" t="s">
        <v>56</v>
      </c>
      <c r="E1416" s="27" t="s">
        <v>23</v>
      </c>
      <c r="F1416" s="89">
        <f>6*3.2</f>
        <v>19.200000000000003</v>
      </c>
      <c r="G1416" s="29">
        <v>735000</v>
      </c>
      <c r="H1416" s="37">
        <v>1</v>
      </c>
      <c r="I1416" s="31">
        <v>1.1479999999999999</v>
      </c>
      <c r="J1416" s="223">
        <f t="shared" si="148"/>
        <v>16201000</v>
      </c>
      <c r="K1416" s="39">
        <f t="shared" si="149"/>
        <v>16201000</v>
      </c>
      <c r="L1416" s="261">
        <f t="shared" si="144"/>
        <v>0</v>
      </c>
      <c r="M1416" s="261">
        <f t="shared" si="139"/>
        <v>0</v>
      </c>
    </row>
    <row r="1417" spans="1:13" ht="30" x14ac:dyDescent="0.3">
      <c r="A1417" s="69"/>
      <c r="B1417" s="8"/>
      <c r="C1417" s="83" t="s">
        <v>1232</v>
      </c>
      <c r="D1417" s="47" t="s">
        <v>1233</v>
      </c>
      <c r="E1417" s="27" t="s">
        <v>35</v>
      </c>
      <c r="F1417" s="85">
        <v>1</v>
      </c>
      <c r="G1417" s="29">
        <v>13630</v>
      </c>
      <c r="H1417" s="50">
        <v>1</v>
      </c>
      <c r="I1417" s="51">
        <v>1</v>
      </c>
      <c r="J1417" s="223">
        <f t="shared" si="148"/>
        <v>14000</v>
      </c>
      <c r="K1417" s="39">
        <f t="shared" si="149"/>
        <v>14000</v>
      </c>
      <c r="L1417" s="261">
        <f t="shared" si="144"/>
        <v>0</v>
      </c>
      <c r="M1417" s="261">
        <f t="shared" si="139"/>
        <v>0</v>
      </c>
    </row>
    <row r="1418" spans="1:13" ht="45" x14ac:dyDescent="0.3">
      <c r="A1418" s="117"/>
      <c r="B1418" s="118"/>
      <c r="C1418" s="82" t="s">
        <v>186</v>
      </c>
      <c r="D1418" s="62" t="s">
        <v>44</v>
      </c>
      <c r="E1418" s="63" t="s">
        <v>45</v>
      </c>
      <c r="F1418" s="89">
        <v>7</v>
      </c>
      <c r="G1418" s="65">
        <v>28000</v>
      </c>
      <c r="H1418" s="66">
        <v>1</v>
      </c>
      <c r="I1418" s="31">
        <v>1.1479999999999999</v>
      </c>
      <c r="J1418" s="223">
        <f>ROUND(F1418*G1418*H1418*I1418,-3)</f>
        <v>225000</v>
      </c>
      <c r="K1418" s="39">
        <f t="shared" si="149"/>
        <v>225000</v>
      </c>
      <c r="L1418" s="261">
        <f t="shared" si="144"/>
        <v>0</v>
      </c>
      <c r="M1418" s="261">
        <f t="shared" si="139"/>
        <v>0</v>
      </c>
    </row>
    <row r="1419" spans="1:13" ht="45" x14ac:dyDescent="0.3">
      <c r="A1419" s="69"/>
      <c r="B1419" s="8"/>
      <c r="C1419" s="82" t="s">
        <v>187</v>
      </c>
      <c r="D1419" s="42" t="s">
        <v>47</v>
      </c>
      <c r="E1419" s="63" t="s">
        <v>45</v>
      </c>
      <c r="F1419" s="89">
        <v>7</v>
      </c>
      <c r="G1419" s="46">
        <v>28000</v>
      </c>
      <c r="H1419" s="66">
        <v>1</v>
      </c>
      <c r="I1419" s="31">
        <v>1.1479999999999999</v>
      </c>
      <c r="J1419" s="223">
        <f>ROUND(F1419*G1419*H1419*I1419,-3)</f>
        <v>225000</v>
      </c>
      <c r="K1419" s="39">
        <f t="shared" si="149"/>
        <v>225000</v>
      </c>
      <c r="L1419" s="261">
        <f t="shared" si="144"/>
        <v>0</v>
      </c>
      <c r="M1419" s="261">
        <f t="shared" si="139"/>
        <v>0</v>
      </c>
    </row>
    <row r="1420" spans="1:13" ht="75" customHeight="1" x14ac:dyDescent="0.25">
      <c r="A1420" s="67">
        <v>90</v>
      </c>
      <c r="B1420" s="68" t="s">
        <v>1243</v>
      </c>
      <c r="C1420" s="433" t="s">
        <v>1244</v>
      </c>
      <c r="D1420" s="434"/>
      <c r="E1420" s="434"/>
      <c r="F1420" s="434"/>
      <c r="G1420" s="434"/>
      <c r="H1420" s="434"/>
      <c r="I1420" s="435"/>
      <c r="J1420" s="221">
        <f>SUM(J1421:J1442)</f>
        <v>1698767000</v>
      </c>
      <c r="K1420" s="39">
        <f t="shared" si="149"/>
        <v>0</v>
      </c>
      <c r="L1420" s="261">
        <f t="shared" si="144"/>
        <v>1698767000</v>
      </c>
      <c r="M1420" s="261">
        <f t="shared" si="139"/>
        <v>1698767000</v>
      </c>
    </row>
    <row r="1421" spans="1:13" ht="75" x14ac:dyDescent="0.25">
      <c r="A1421" s="67"/>
      <c r="B1421" s="68"/>
      <c r="C1421" s="20" t="s">
        <v>1129</v>
      </c>
      <c r="D1421" s="26"/>
      <c r="E1421" s="27" t="s">
        <v>23</v>
      </c>
      <c r="F1421" s="33">
        <v>67.7</v>
      </c>
      <c r="G1421" s="49">
        <v>13800000</v>
      </c>
      <c r="H1421" s="331">
        <v>1</v>
      </c>
      <c r="I1421" s="332">
        <v>1.2</v>
      </c>
      <c r="J1421" s="223">
        <f>ROUND(F1421*G1421*H1421*I1421,-3)</f>
        <v>1121112000</v>
      </c>
      <c r="K1421" s="39">
        <f t="shared" si="149"/>
        <v>1121112000</v>
      </c>
      <c r="L1421" s="261">
        <f t="shared" si="144"/>
        <v>0</v>
      </c>
      <c r="M1421" s="261">
        <f t="shared" ref="M1421:M1442" si="150">J1421-K1421</f>
        <v>0</v>
      </c>
    </row>
    <row r="1422" spans="1:13" ht="93.75" customHeight="1" x14ac:dyDescent="0.25">
      <c r="A1422" s="67"/>
      <c r="B1422" s="68"/>
      <c r="C1422" s="20" t="s">
        <v>1130</v>
      </c>
      <c r="D1422" s="26"/>
      <c r="E1422" s="22" t="s">
        <v>23</v>
      </c>
      <c r="F1422" s="203">
        <v>18.399999999999999</v>
      </c>
      <c r="G1422" s="493" t="s">
        <v>1133</v>
      </c>
      <c r="H1422" s="494"/>
      <c r="I1422" s="494"/>
      <c r="J1422" s="222">
        <v>0</v>
      </c>
      <c r="K1422" s="39"/>
      <c r="L1422" s="261">
        <f t="shared" si="144"/>
        <v>0</v>
      </c>
      <c r="M1422" s="261"/>
    </row>
    <row r="1423" spans="1:13" ht="75" x14ac:dyDescent="0.25">
      <c r="A1423" s="67"/>
      <c r="B1423" s="68"/>
      <c r="C1423" s="25" t="s">
        <v>1245</v>
      </c>
      <c r="D1423" s="81" t="s">
        <v>148</v>
      </c>
      <c r="E1423" s="27" t="s">
        <v>23</v>
      </c>
      <c r="F1423" s="33">
        <f>5.4*7.85</f>
        <v>42.39</v>
      </c>
      <c r="G1423" s="29">
        <v>3564000</v>
      </c>
      <c r="H1423" s="101">
        <v>1</v>
      </c>
      <c r="I1423" s="102">
        <v>1.1479999999999999</v>
      </c>
      <c r="J1423" s="223">
        <f>ROUND(F1423*G1423*H1423*I1423,-3)</f>
        <v>173437000</v>
      </c>
      <c r="K1423" s="39">
        <f t="shared" si="149"/>
        <v>173437000</v>
      </c>
      <c r="L1423" s="261">
        <f t="shared" si="144"/>
        <v>0</v>
      </c>
      <c r="M1423" s="261">
        <f t="shared" si="150"/>
        <v>0</v>
      </c>
    </row>
    <row r="1424" spans="1:13" ht="45" x14ac:dyDescent="0.25">
      <c r="A1424" s="67"/>
      <c r="B1424" s="68"/>
      <c r="C1424" s="25" t="s">
        <v>1246</v>
      </c>
      <c r="D1424" s="81" t="s">
        <v>148</v>
      </c>
      <c r="E1424" s="27" t="s">
        <v>928</v>
      </c>
      <c r="F1424" s="33">
        <f>5.4*4.75</f>
        <v>25.650000000000002</v>
      </c>
      <c r="G1424" s="29">
        <v>3564000</v>
      </c>
      <c r="H1424" s="37">
        <v>0.8</v>
      </c>
      <c r="I1424" s="102">
        <v>2.1480000000000001</v>
      </c>
      <c r="J1424" s="223">
        <f>ROUND(F1424*G1424*H1424*I1424,-3)</f>
        <v>157090000</v>
      </c>
      <c r="K1424" s="39">
        <f t="shared" si="149"/>
        <v>157090000</v>
      </c>
      <c r="L1424" s="261">
        <f t="shared" si="144"/>
        <v>0</v>
      </c>
      <c r="M1424" s="261">
        <f t="shared" si="150"/>
        <v>0</v>
      </c>
    </row>
    <row r="1425" spans="1:13" ht="45" x14ac:dyDescent="0.25">
      <c r="A1425" s="67"/>
      <c r="B1425" s="68"/>
      <c r="C1425" s="25" t="s">
        <v>1247</v>
      </c>
      <c r="D1425" s="44" t="s">
        <v>33</v>
      </c>
      <c r="E1425" s="27" t="s">
        <v>23</v>
      </c>
      <c r="F1425" s="33">
        <f>9.6*0.9</f>
        <v>8.64</v>
      </c>
      <c r="G1425" s="29">
        <v>453000</v>
      </c>
      <c r="H1425" s="45">
        <v>1</v>
      </c>
      <c r="I1425" s="31">
        <v>1.1479999999999999</v>
      </c>
      <c r="J1425" s="223">
        <f>ROUND(F1425*G1425*H1425*I1425,-3)</f>
        <v>4493000</v>
      </c>
      <c r="K1425" s="39">
        <f t="shared" si="149"/>
        <v>4493000</v>
      </c>
      <c r="L1425" s="261">
        <f t="shared" si="144"/>
        <v>0</v>
      </c>
      <c r="M1425" s="261">
        <f t="shared" si="150"/>
        <v>0</v>
      </c>
    </row>
    <row r="1426" spans="1:13" ht="45" x14ac:dyDescent="0.25">
      <c r="A1426" s="67"/>
      <c r="B1426" s="68"/>
      <c r="C1426" s="25" t="s">
        <v>1248</v>
      </c>
      <c r="D1426" s="34" t="s">
        <v>68</v>
      </c>
      <c r="E1426" s="168" t="s">
        <v>23</v>
      </c>
      <c r="F1426" s="46">
        <f>5.2*7.55</f>
        <v>39.26</v>
      </c>
      <c r="G1426" s="46">
        <v>213000</v>
      </c>
      <c r="H1426" s="37">
        <v>1</v>
      </c>
      <c r="I1426" s="31">
        <v>1.1479999999999999</v>
      </c>
      <c r="J1426" s="223">
        <f>ROUND(F1426*G1426*H1426*I1426,-3)</f>
        <v>9600000</v>
      </c>
      <c r="K1426" s="39">
        <f t="shared" si="149"/>
        <v>9600000</v>
      </c>
      <c r="L1426" s="261">
        <f t="shared" si="144"/>
        <v>0</v>
      </c>
      <c r="M1426" s="261">
        <f t="shared" si="150"/>
        <v>0</v>
      </c>
    </row>
    <row r="1427" spans="1:13" ht="45" x14ac:dyDescent="0.25">
      <c r="A1427" s="67"/>
      <c r="B1427" s="68"/>
      <c r="C1427" s="25" t="s">
        <v>1249</v>
      </c>
      <c r="D1427" s="34" t="s">
        <v>28</v>
      </c>
      <c r="E1427" s="27" t="s">
        <v>23</v>
      </c>
      <c r="F1427" s="33">
        <f>3.15*0.6+(0.4*0.9)*18+(3.9*0.4)*2</f>
        <v>11.490000000000002</v>
      </c>
      <c r="G1427" s="11">
        <v>396000</v>
      </c>
      <c r="H1427" s="38">
        <v>1</v>
      </c>
      <c r="I1427" s="31">
        <v>1.1479999999999999</v>
      </c>
      <c r="J1427" s="223">
        <f>ROUND(F1427*G1427*H1427*I1427,-3)</f>
        <v>5223000</v>
      </c>
      <c r="K1427" s="39">
        <f t="shared" si="149"/>
        <v>5223000</v>
      </c>
      <c r="L1427" s="261">
        <f t="shared" si="144"/>
        <v>0</v>
      </c>
      <c r="M1427" s="261">
        <f t="shared" si="150"/>
        <v>0</v>
      </c>
    </row>
    <row r="1428" spans="1:13" ht="56.25" x14ac:dyDescent="0.25">
      <c r="A1428" s="67"/>
      <c r="B1428" s="68"/>
      <c r="C1428" s="25" t="s">
        <v>1250</v>
      </c>
      <c r="D1428" s="34" t="s">
        <v>66</v>
      </c>
      <c r="E1428" s="27" t="s">
        <v>23</v>
      </c>
      <c r="F1428" s="33">
        <f>6.2*2.3+3.6*2.8+(0.7*0.5)*12+2.05*0.9</f>
        <v>30.384999999999998</v>
      </c>
      <c r="G1428" s="29">
        <v>339000</v>
      </c>
      <c r="H1428" s="38">
        <v>1</v>
      </c>
      <c r="I1428" s="31">
        <v>1.1479999999999999</v>
      </c>
      <c r="J1428" s="223">
        <f t="shared" ref="J1428:J1439" si="151">ROUND(F1428*G1428*H1428*I1428,-3)</f>
        <v>11825000</v>
      </c>
      <c r="K1428" s="39">
        <f t="shared" si="149"/>
        <v>11825000</v>
      </c>
      <c r="L1428" s="261">
        <f t="shared" si="144"/>
        <v>0</v>
      </c>
      <c r="M1428" s="261">
        <f t="shared" si="150"/>
        <v>0</v>
      </c>
    </row>
    <row r="1429" spans="1:13" ht="45" x14ac:dyDescent="0.25">
      <c r="A1429" s="67"/>
      <c r="B1429" s="68"/>
      <c r="C1429" s="25" t="s">
        <v>1251</v>
      </c>
      <c r="D1429" s="34" t="s">
        <v>66</v>
      </c>
      <c r="E1429" s="27" t="s">
        <v>23</v>
      </c>
      <c r="F1429" s="33">
        <f>10.6*2.5+11.8*0.15+8.2*0.9</f>
        <v>35.65</v>
      </c>
      <c r="G1429" s="29">
        <v>339000</v>
      </c>
      <c r="H1429" s="38">
        <v>1</v>
      </c>
      <c r="I1429" s="31">
        <v>1.1479999999999999</v>
      </c>
      <c r="J1429" s="223">
        <f t="shared" si="151"/>
        <v>13874000</v>
      </c>
      <c r="K1429" s="39">
        <f t="shared" si="149"/>
        <v>13874000</v>
      </c>
      <c r="L1429" s="261">
        <f t="shared" si="144"/>
        <v>0</v>
      </c>
      <c r="M1429" s="261">
        <f t="shared" si="150"/>
        <v>0</v>
      </c>
    </row>
    <row r="1430" spans="1:13" ht="45" x14ac:dyDescent="0.25">
      <c r="A1430" s="67"/>
      <c r="B1430" s="68"/>
      <c r="C1430" s="25" t="s">
        <v>1252</v>
      </c>
      <c r="D1430" s="34" t="s">
        <v>51</v>
      </c>
      <c r="E1430" s="27" t="s">
        <v>23</v>
      </c>
      <c r="F1430" s="33">
        <f>5.4*4.2</f>
        <v>22.680000000000003</v>
      </c>
      <c r="G1430" s="29">
        <v>453000</v>
      </c>
      <c r="H1430" s="37">
        <v>1</v>
      </c>
      <c r="I1430" s="31">
        <v>1.1479999999999999</v>
      </c>
      <c r="J1430" s="223">
        <f t="shared" si="151"/>
        <v>11795000</v>
      </c>
      <c r="K1430" s="39">
        <f t="shared" si="149"/>
        <v>11795000</v>
      </c>
      <c r="L1430" s="261">
        <f t="shared" si="144"/>
        <v>0</v>
      </c>
      <c r="M1430" s="261">
        <f t="shared" si="150"/>
        <v>0</v>
      </c>
    </row>
    <row r="1431" spans="1:13" ht="45" x14ac:dyDescent="0.25">
      <c r="A1431" s="67"/>
      <c r="B1431" s="68"/>
      <c r="C1431" s="25" t="s">
        <v>1253</v>
      </c>
      <c r="D1431" s="34" t="s">
        <v>101</v>
      </c>
      <c r="E1431" s="71" t="s">
        <v>23</v>
      </c>
      <c r="F1431" s="33">
        <f>5.4*2.7</f>
        <v>14.580000000000002</v>
      </c>
      <c r="G1431" s="29">
        <v>339000</v>
      </c>
      <c r="H1431" s="37">
        <v>1</v>
      </c>
      <c r="I1431" s="31">
        <v>1.1479999999999999</v>
      </c>
      <c r="J1431" s="223">
        <f t="shared" si="151"/>
        <v>5674000</v>
      </c>
      <c r="K1431" s="39">
        <f t="shared" si="149"/>
        <v>5674000</v>
      </c>
      <c r="L1431" s="261">
        <f t="shared" si="144"/>
        <v>0</v>
      </c>
      <c r="M1431" s="261">
        <f t="shared" si="150"/>
        <v>0</v>
      </c>
    </row>
    <row r="1432" spans="1:13" ht="45" x14ac:dyDescent="0.25">
      <c r="A1432" s="67"/>
      <c r="B1432" s="68"/>
      <c r="C1432" s="25" t="s">
        <v>1254</v>
      </c>
      <c r="D1432" s="34" t="s">
        <v>29</v>
      </c>
      <c r="E1432" s="27" t="s">
        <v>23</v>
      </c>
      <c r="F1432" s="33">
        <f>(2.1*3.6)*2+(0.5*1)*2</f>
        <v>16.12</v>
      </c>
      <c r="G1432" s="29">
        <v>792000</v>
      </c>
      <c r="H1432" s="37">
        <v>1</v>
      </c>
      <c r="I1432" s="31">
        <v>1.1479999999999999</v>
      </c>
      <c r="J1432" s="223">
        <f t="shared" si="151"/>
        <v>14657000</v>
      </c>
      <c r="K1432" s="39">
        <f t="shared" si="149"/>
        <v>14657000</v>
      </c>
      <c r="L1432" s="261">
        <f t="shared" si="144"/>
        <v>0</v>
      </c>
      <c r="M1432" s="261">
        <f t="shared" si="150"/>
        <v>0</v>
      </c>
    </row>
    <row r="1433" spans="1:13" ht="45" x14ac:dyDescent="0.25">
      <c r="A1433" s="67"/>
      <c r="B1433" s="68"/>
      <c r="C1433" s="25" t="s">
        <v>1255</v>
      </c>
      <c r="D1433" s="34" t="s">
        <v>52</v>
      </c>
      <c r="E1433" s="27" t="s">
        <v>23</v>
      </c>
      <c r="F1433" s="33">
        <f>(0.9*3.5)*2+5*0.6</f>
        <v>9.3000000000000007</v>
      </c>
      <c r="G1433" s="11" t="s">
        <v>53</v>
      </c>
      <c r="H1433" s="37">
        <v>1</v>
      </c>
      <c r="I1433" s="78">
        <v>1.1479999999999999</v>
      </c>
      <c r="J1433" s="223">
        <f t="shared" si="151"/>
        <v>2520000</v>
      </c>
      <c r="K1433" s="39">
        <f t="shared" si="149"/>
        <v>2520000</v>
      </c>
      <c r="L1433" s="261">
        <f t="shared" si="144"/>
        <v>0</v>
      </c>
      <c r="M1433" s="261">
        <f t="shared" si="150"/>
        <v>0</v>
      </c>
    </row>
    <row r="1434" spans="1:13" ht="45" x14ac:dyDescent="0.25">
      <c r="A1434" s="67"/>
      <c r="B1434" s="68"/>
      <c r="C1434" s="25" t="s">
        <v>1256</v>
      </c>
      <c r="D1434" s="34" t="s">
        <v>66</v>
      </c>
      <c r="E1434" s="27" t="s">
        <v>23</v>
      </c>
      <c r="F1434" s="33">
        <f>4*1.8</f>
        <v>7.2</v>
      </c>
      <c r="G1434" s="29">
        <v>339000</v>
      </c>
      <c r="H1434" s="38">
        <v>1</v>
      </c>
      <c r="I1434" s="31">
        <v>1.1479999999999999</v>
      </c>
      <c r="J1434" s="223">
        <f t="shared" si="151"/>
        <v>2802000</v>
      </c>
      <c r="K1434" s="39">
        <f t="shared" si="149"/>
        <v>2802000</v>
      </c>
      <c r="L1434" s="261">
        <f t="shared" si="144"/>
        <v>0</v>
      </c>
      <c r="M1434" s="261">
        <f t="shared" si="150"/>
        <v>0</v>
      </c>
    </row>
    <row r="1435" spans="1:13" ht="45" x14ac:dyDescent="0.25">
      <c r="A1435" s="67"/>
      <c r="B1435" s="68"/>
      <c r="C1435" s="25" t="s">
        <v>1257</v>
      </c>
      <c r="D1435" s="34" t="s">
        <v>66</v>
      </c>
      <c r="E1435" s="27" t="s">
        <v>23</v>
      </c>
      <c r="F1435" s="33">
        <f>12.2*0.15+(2.7*0.8)*2</f>
        <v>6.15</v>
      </c>
      <c r="G1435" s="29">
        <v>339000</v>
      </c>
      <c r="H1435" s="38">
        <v>1</v>
      </c>
      <c r="I1435" s="31">
        <v>1.1479999999999999</v>
      </c>
      <c r="J1435" s="223">
        <f t="shared" si="151"/>
        <v>2393000</v>
      </c>
      <c r="K1435" s="39">
        <f t="shared" si="149"/>
        <v>2393000</v>
      </c>
      <c r="L1435" s="261">
        <f t="shared" si="144"/>
        <v>0</v>
      </c>
      <c r="M1435" s="261">
        <f t="shared" si="150"/>
        <v>0</v>
      </c>
    </row>
    <row r="1436" spans="1:13" ht="45" x14ac:dyDescent="0.25">
      <c r="A1436" s="67"/>
      <c r="B1436" s="68"/>
      <c r="C1436" s="25" t="s">
        <v>1258</v>
      </c>
      <c r="D1436" s="42" t="s">
        <v>32</v>
      </c>
      <c r="E1436" s="27" t="s">
        <v>23</v>
      </c>
      <c r="F1436" s="33">
        <f>4.4*5.4</f>
        <v>23.760000000000005</v>
      </c>
      <c r="G1436" s="29">
        <v>215000</v>
      </c>
      <c r="H1436" s="30">
        <v>1</v>
      </c>
      <c r="I1436" s="31">
        <v>1.1479999999999999</v>
      </c>
      <c r="J1436" s="223">
        <f t="shared" si="151"/>
        <v>5864000</v>
      </c>
      <c r="K1436" s="39">
        <f t="shared" si="149"/>
        <v>5864000</v>
      </c>
      <c r="L1436" s="261">
        <f t="shared" si="144"/>
        <v>0</v>
      </c>
      <c r="M1436" s="261">
        <f t="shared" si="150"/>
        <v>0</v>
      </c>
    </row>
    <row r="1437" spans="1:13" ht="45" x14ac:dyDescent="0.25">
      <c r="A1437" s="67"/>
      <c r="B1437" s="68"/>
      <c r="C1437" s="25" t="s">
        <v>184</v>
      </c>
      <c r="D1437" s="62" t="s">
        <v>44</v>
      </c>
      <c r="E1437" s="63" t="s">
        <v>45</v>
      </c>
      <c r="F1437" s="33">
        <v>8</v>
      </c>
      <c r="G1437" s="65">
        <v>28000</v>
      </c>
      <c r="H1437" s="66">
        <v>1</v>
      </c>
      <c r="I1437" s="31">
        <v>1.1479999999999999</v>
      </c>
      <c r="J1437" s="223">
        <f t="shared" si="151"/>
        <v>257000</v>
      </c>
      <c r="K1437" s="39">
        <f t="shared" si="149"/>
        <v>257000</v>
      </c>
      <c r="L1437" s="261">
        <f t="shared" si="144"/>
        <v>0</v>
      </c>
      <c r="M1437" s="261">
        <f t="shared" si="150"/>
        <v>0</v>
      </c>
    </row>
    <row r="1438" spans="1:13" ht="45" x14ac:dyDescent="0.25">
      <c r="A1438" s="67"/>
      <c r="B1438" s="68"/>
      <c r="C1438" s="25" t="s">
        <v>185</v>
      </c>
      <c r="D1438" s="42" t="s">
        <v>47</v>
      </c>
      <c r="E1438" s="63" t="s">
        <v>45</v>
      </c>
      <c r="F1438" s="33">
        <v>8</v>
      </c>
      <c r="G1438" s="46">
        <v>28000</v>
      </c>
      <c r="H1438" s="66">
        <v>1</v>
      </c>
      <c r="I1438" s="31">
        <v>1.1479999999999999</v>
      </c>
      <c r="J1438" s="223">
        <f t="shared" si="151"/>
        <v>257000</v>
      </c>
      <c r="K1438" s="39">
        <f t="shared" si="149"/>
        <v>257000</v>
      </c>
      <c r="L1438" s="261">
        <f t="shared" si="144"/>
        <v>0</v>
      </c>
      <c r="M1438" s="261">
        <f t="shared" si="150"/>
        <v>0</v>
      </c>
    </row>
    <row r="1439" spans="1:13" ht="45" x14ac:dyDescent="0.25">
      <c r="A1439" s="67"/>
      <c r="B1439" s="68"/>
      <c r="C1439" s="25" t="s">
        <v>694</v>
      </c>
      <c r="D1439" s="34" t="s">
        <v>97</v>
      </c>
      <c r="E1439" s="71" t="s">
        <v>98</v>
      </c>
      <c r="F1439" s="33">
        <v>1</v>
      </c>
      <c r="G1439" s="36">
        <v>226000</v>
      </c>
      <c r="H1439" s="37">
        <v>1</v>
      </c>
      <c r="I1439" s="31">
        <v>1.1479999999999999</v>
      </c>
      <c r="J1439" s="223">
        <f t="shared" si="151"/>
        <v>259000</v>
      </c>
      <c r="K1439" s="39">
        <f t="shared" si="149"/>
        <v>259000</v>
      </c>
      <c r="L1439" s="261">
        <f t="shared" si="144"/>
        <v>0</v>
      </c>
      <c r="M1439" s="261">
        <f t="shared" si="150"/>
        <v>0</v>
      </c>
    </row>
    <row r="1440" spans="1:13" ht="56.25" x14ac:dyDescent="0.25">
      <c r="A1440" s="67"/>
      <c r="B1440" s="68"/>
      <c r="C1440" s="25" t="s">
        <v>1259</v>
      </c>
      <c r="D1440" s="81" t="s">
        <v>63</v>
      </c>
      <c r="E1440" s="27" t="s">
        <v>23</v>
      </c>
      <c r="F1440" s="33">
        <f>5.36*8</f>
        <v>42.88</v>
      </c>
      <c r="G1440" s="49">
        <v>2975000</v>
      </c>
      <c r="H1440" s="37">
        <v>1</v>
      </c>
      <c r="I1440" s="31">
        <v>1.1479999999999999</v>
      </c>
      <c r="J1440" s="223">
        <f>ROUND(F1440*G1440*H1440*I1440,-3)</f>
        <v>146448000</v>
      </c>
      <c r="K1440" s="39">
        <f t="shared" si="149"/>
        <v>146448000</v>
      </c>
      <c r="L1440" s="261">
        <f t="shared" si="144"/>
        <v>0</v>
      </c>
      <c r="M1440" s="261">
        <f t="shared" si="150"/>
        <v>0</v>
      </c>
    </row>
    <row r="1441" spans="1:15" ht="45" x14ac:dyDescent="0.25">
      <c r="A1441" s="67"/>
      <c r="B1441" s="68"/>
      <c r="C1441" s="25" t="s">
        <v>1260</v>
      </c>
      <c r="D1441" s="34" t="s">
        <v>66</v>
      </c>
      <c r="E1441" s="27" t="s">
        <v>23</v>
      </c>
      <c r="F1441" s="33">
        <f>5.35*0.1</f>
        <v>0.53500000000000003</v>
      </c>
      <c r="G1441" s="29">
        <v>339000</v>
      </c>
      <c r="H1441" s="38">
        <v>1</v>
      </c>
      <c r="I1441" s="31">
        <v>1.1479999999999999</v>
      </c>
      <c r="J1441" s="223">
        <f>ROUND(F1441*G1441*H1441*I1441,-3)</f>
        <v>208000</v>
      </c>
      <c r="K1441" s="39">
        <f t="shared" si="149"/>
        <v>208000</v>
      </c>
      <c r="L1441" s="261">
        <f t="shared" si="144"/>
        <v>0</v>
      </c>
      <c r="M1441" s="261">
        <f t="shared" si="150"/>
        <v>0</v>
      </c>
    </row>
    <row r="1442" spans="1:15" ht="45" x14ac:dyDescent="0.25">
      <c r="A1442" s="67"/>
      <c r="B1442" s="68"/>
      <c r="C1442" s="25" t="s">
        <v>1261</v>
      </c>
      <c r="D1442" s="42" t="s">
        <v>32</v>
      </c>
      <c r="E1442" s="27" t="s">
        <v>23</v>
      </c>
      <c r="F1442" s="33">
        <f>5.35*6.8</f>
        <v>36.379999999999995</v>
      </c>
      <c r="G1442" s="29">
        <v>215000</v>
      </c>
      <c r="H1442" s="30">
        <v>1</v>
      </c>
      <c r="I1442" s="31">
        <v>1.1479999999999999</v>
      </c>
      <c r="J1442" s="223">
        <f>ROUND(F1442*G1442*H1442*I1442,-3)</f>
        <v>8979000</v>
      </c>
      <c r="K1442" s="39">
        <f t="shared" si="149"/>
        <v>8979000</v>
      </c>
      <c r="L1442" s="261">
        <f t="shared" si="144"/>
        <v>0</v>
      </c>
      <c r="M1442" s="261">
        <f t="shared" si="150"/>
        <v>0</v>
      </c>
    </row>
    <row r="1443" spans="1:15" s="233" customFormat="1" ht="50.25" customHeight="1" x14ac:dyDescent="0.3">
      <c r="A1443" s="236"/>
      <c r="B1443" s="236"/>
      <c r="C1443" s="486" t="s">
        <v>1034</v>
      </c>
      <c r="D1443" s="487"/>
      <c r="E1443" s="487"/>
      <c r="F1443" s="487"/>
      <c r="G1443" s="487"/>
      <c r="H1443" s="487"/>
      <c r="I1443" s="488"/>
      <c r="J1443" s="425">
        <f>ROUND(SUM(J7:J1442)/2,-3)</f>
        <v>43119764000</v>
      </c>
      <c r="K1443" s="237">
        <f>SUM(K7:K1442)</f>
        <v>43119764000</v>
      </c>
      <c r="L1443" s="294"/>
      <c r="M1443" s="244"/>
      <c r="N1443" s="234"/>
      <c r="O1443" s="235"/>
    </row>
    <row r="1444" spans="1:15" ht="43.5" customHeight="1" x14ac:dyDescent="0.3">
      <c r="A1444" s="489" t="s">
        <v>1560</v>
      </c>
      <c r="B1444" s="490"/>
      <c r="C1444" s="490"/>
      <c r="D1444" s="490"/>
      <c r="E1444" s="490"/>
      <c r="F1444" s="490"/>
      <c r="G1444" s="490"/>
      <c r="H1444" s="490"/>
      <c r="I1444" s="490"/>
      <c r="J1444" s="491"/>
    </row>
    <row r="1446" spans="1:15" x14ac:dyDescent="0.3">
      <c r="J1446" s="238"/>
    </row>
  </sheetData>
  <autoFilter ref="A5:O1444"/>
  <mergeCells count="209">
    <mergeCell ref="C1405:I1405"/>
    <mergeCell ref="C1420:I1420"/>
    <mergeCell ref="G1422:I1422"/>
    <mergeCell ref="C1334:I1334"/>
    <mergeCell ref="G1335:I1335"/>
    <mergeCell ref="C1344:I1344"/>
    <mergeCell ref="G1347:I1347"/>
    <mergeCell ref="C1357:I1357"/>
    <mergeCell ref="C1374:I1374"/>
    <mergeCell ref="G1324:I1324"/>
    <mergeCell ref="C1260:I1260"/>
    <mergeCell ref="G1261:I1261"/>
    <mergeCell ref="C1285:I1285"/>
    <mergeCell ref="G1287:I1287"/>
    <mergeCell ref="C1298:I1298"/>
    <mergeCell ref="G1299:I1299"/>
    <mergeCell ref="C1383:I1383"/>
    <mergeCell ref="C1396:I1396"/>
    <mergeCell ref="C1186:I1186"/>
    <mergeCell ref="C1187:I1187"/>
    <mergeCell ref="C1200:I1200"/>
    <mergeCell ref="C1201:I1201"/>
    <mergeCell ref="C1304:I1304"/>
    <mergeCell ref="G1305:I1305"/>
    <mergeCell ref="C1313:I1313"/>
    <mergeCell ref="G1315:I1315"/>
    <mergeCell ref="C1323:I1323"/>
    <mergeCell ref="C1133:I1133"/>
    <mergeCell ref="C1140:I1140"/>
    <mergeCell ref="C1147:I1147"/>
    <mergeCell ref="C1148:I1148"/>
    <mergeCell ref="C1155:I1155"/>
    <mergeCell ref="C1156:I1156"/>
    <mergeCell ref="G1074:I1074"/>
    <mergeCell ref="C1443:I1443"/>
    <mergeCell ref="A1444:J1444"/>
    <mergeCell ref="C1090:I1090"/>
    <mergeCell ref="C1091:I1091"/>
    <mergeCell ref="G1093:I1093"/>
    <mergeCell ref="C1111:I1111"/>
    <mergeCell ref="G1113:I1113"/>
    <mergeCell ref="C1114:I1114"/>
    <mergeCell ref="C1115:I1115"/>
    <mergeCell ref="C1217:I1217"/>
    <mergeCell ref="G1219:I1219"/>
    <mergeCell ref="C1226:I1226"/>
    <mergeCell ref="G1228:I1228"/>
    <mergeCell ref="C1237:I1237"/>
    <mergeCell ref="G1239:I1239"/>
    <mergeCell ref="C1168:I1168"/>
    <mergeCell ref="C1169:I1169"/>
    <mergeCell ref="G994:I994"/>
    <mergeCell ref="C1006:I1006"/>
    <mergeCell ref="G1007:I1007"/>
    <mergeCell ref="C1031:I1031"/>
    <mergeCell ref="G1032:I1032"/>
    <mergeCell ref="C1072:I1072"/>
    <mergeCell ref="G950:I950"/>
    <mergeCell ref="C959:I959"/>
    <mergeCell ref="G960:I960"/>
    <mergeCell ref="C966:I966"/>
    <mergeCell ref="G968:I968"/>
    <mergeCell ref="C993:I993"/>
    <mergeCell ref="G906:I906"/>
    <mergeCell ref="C915:I915"/>
    <mergeCell ref="G916:I916"/>
    <mergeCell ref="C938:I938"/>
    <mergeCell ref="G939:I939"/>
    <mergeCell ref="C949:I949"/>
    <mergeCell ref="G867:I867"/>
    <mergeCell ref="C877:I877"/>
    <mergeCell ref="G878:I878"/>
    <mergeCell ref="C897:I897"/>
    <mergeCell ref="G898:I898"/>
    <mergeCell ref="C905:I905"/>
    <mergeCell ref="G824:I824"/>
    <mergeCell ref="C836:I836"/>
    <mergeCell ref="G837:I837"/>
    <mergeCell ref="C847:I847"/>
    <mergeCell ref="G848:I848"/>
    <mergeCell ref="C866:I866"/>
    <mergeCell ref="G791:I791"/>
    <mergeCell ref="C796:I796"/>
    <mergeCell ref="G797:I797"/>
    <mergeCell ref="C813:I813"/>
    <mergeCell ref="G814:I814"/>
    <mergeCell ref="C823:I823"/>
    <mergeCell ref="G764:I764"/>
    <mergeCell ref="C775:I775"/>
    <mergeCell ref="G776:I776"/>
    <mergeCell ref="C782:I782"/>
    <mergeCell ref="G783:I783"/>
    <mergeCell ref="C790:I790"/>
    <mergeCell ref="C725:I725"/>
    <mergeCell ref="C744:I744"/>
    <mergeCell ref="G745:I745"/>
    <mergeCell ref="C757:I757"/>
    <mergeCell ref="G758:I758"/>
    <mergeCell ref="C763:I763"/>
    <mergeCell ref="G691:I691"/>
    <mergeCell ref="C698:I698"/>
    <mergeCell ref="G699:I699"/>
    <mergeCell ref="C722:I722"/>
    <mergeCell ref="G723:I723"/>
    <mergeCell ref="C724:I724"/>
    <mergeCell ref="G668:I668"/>
    <mergeCell ref="C678:I678"/>
    <mergeCell ref="G679:I679"/>
    <mergeCell ref="C680:I680"/>
    <mergeCell ref="C681:I681"/>
    <mergeCell ref="C690:I690"/>
    <mergeCell ref="G644:I644"/>
    <mergeCell ref="C657:I657"/>
    <mergeCell ref="C658:I658"/>
    <mergeCell ref="C664:I664"/>
    <mergeCell ref="G666:I666"/>
    <mergeCell ref="C667:I667"/>
    <mergeCell ref="G615:I615"/>
    <mergeCell ref="C616:I616"/>
    <mergeCell ref="C617:I617"/>
    <mergeCell ref="C631:I631"/>
    <mergeCell ref="G633:I633"/>
    <mergeCell ref="C642:I642"/>
    <mergeCell ref="G581:I581"/>
    <mergeCell ref="C592:I592"/>
    <mergeCell ref="G593:I593"/>
    <mergeCell ref="C609:I609"/>
    <mergeCell ref="C610:I610"/>
    <mergeCell ref="C614:I614"/>
    <mergeCell ref="G525:I525"/>
    <mergeCell ref="C536:I536"/>
    <mergeCell ref="G537:I537"/>
    <mergeCell ref="C555:I555"/>
    <mergeCell ref="G556:I556"/>
    <mergeCell ref="C579:I579"/>
    <mergeCell ref="C486:I486"/>
    <mergeCell ref="C497:I497"/>
    <mergeCell ref="C498:I498"/>
    <mergeCell ref="C514:I514"/>
    <mergeCell ref="G515:I515"/>
    <mergeCell ref="C524:I524"/>
    <mergeCell ref="C457:I457"/>
    <mergeCell ref="C471:I471"/>
    <mergeCell ref="G473:I473"/>
    <mergeCell ref="C474:I474"/>
    <mergeCell ref="C475:I475"/>
    <mergeCell ref="C485:I485"/>
    <mergeCell ref="C412:I412"/>
    <mergeCell ref="C434:I434"/>
    <mergeCell ref="C435:I435"/>
    <mergeCell ref="C444:I444"/>
    <mergeCell ref="C445:I445"/>
    <mergeCell ref="C456:I456"/>
    <mergeCell ref="G364:I364"/>
    <mergeCell ref="C365:I365"/>
    <mergeCell ref="C366:I366"/>
    <mergeCell ref="C394:I394"/>
    <mergeCell ref="C395:I395"/>
    <mergeCell ref="C411:I411"/>
    <mergeCell ref="G327:I327"/>
    <mergeCell ref="C340:I340"/>
    <mergeCell ref="G341:I341"/>
    <mergeCell ref="C342:I342"/>
    <mergeCell ref="C343:I343"/>
    <mergeCell ref="C363:I363"/>
    <mergeCell ref="G280:I280"/>
    <mergeCell ref="C296:I296"/>
    <mergeCell ref="G297:I297"/>
    <mergeCell ref="C308:I308"/>
    <mergeCell ref="G309:I309"/>
    <mergeCell ref="C325:I325"/>
    <mergeCell ref="G249:I249"/>
    <mergeCell ref="C257:I257"/>
    <mergeCell ref="G258:I258"/>
    <mergeCell ref="C273:I273"/>
    <mergeCell ref="G274:I274"/>
    <mergeCell ref="C279:I279"/>
    <mergeCell ref="G201:I201"/>
    <mergeCell ref="C211:I211"/>
    <mergeCell ref="G212:I212"/>
    <mergeCell ref="C232:I232"/>
    <mergeCell ref="G233:I233"/>
    <mergeCell ref="C248:I248"/>
    <mergeCell ref="G155:I155"/>
    <mergeCell ref="C168:I168"/>
    <mergeCell ref="G169:I169"/>
    <mergeCell ref="C188:I188"/>
    <mergeCell ref="G189:I189"/>
    <mergeCell ref="C200:I200"/>
    <mergeCell ref="G91:I91"/>
    <mergeCell ref="C108:I108"/>
    <mergeCell ref="G110:I110"/>
    <mergeCell ref="C132:I132"/>
    <mergeCell ref="G134:I134"/>
    <mergeCell ref="C153:I153"/>
    <mergeCell ref="K3:K4"/>
    <mergeCell ref="M3:M4"/>
    <mergeCell ref="C6:I6"/>
    <mergeCell ref="C7:I7"/>
    <mergeCell ref="C54:I54"/>
    <mergeCell ref="C89:I89"/>
    <mergeCell ref="B1:J1"/>
    <mergeCell ref="B2:J2"/>
    <mergeCell ref="A3:A4"/>
    <mergeCell ref="B3:B4"/>
    <mergeCell ref="C3:C4"/>
    <mergeCell ref="D3:D4"/>
    <mergeCell ref="E3:E4"/>
    <mergeCell ref="F3:J3"/>
  </mergeCells>
  <pageMargins left="0.49" right="0.46" top="0.38" bottom="0.43" header="0.3" footer="0.3"/>
  <pageSetup paperSize="9" scale="5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V1093"/>
  <sheetViews>
    <sheetView topLeftCell="A1085" zoomScale="85" zoomScaleNormal="85" workbookViewId="0">
      <selection activeCell="J1090" sqref="J1090"/>
    </sheetView>
  </sheetViews>
  <sheetFormatPr defaultRowHeight="18.75" x14ac:dyDescent="0.3"/>
  <cols>
    <col min="1" max="1" width="5.42578125" customWidth="1"/>
    <col min="2" max="2" width="5.7109375" customWidth="1"/>
    <col min="3" max="3" width="45.85546875" customWidth="1"/>
    <col min="4" max="4" width="9.140625" style="285"/>
    <col min="5" max="5" width="10.7109375" customWidth="1"/>
    <col min="6" max="6" width="12.5703125" style="215" customWidth="1"/>
    <col min="7" max="7" width="22.7109375" style="172" customWidth="1"/>
    <col min="8" max="8" width="10.5703125" customWidth="1"/>
    <col min="9" max="9" width="8.85546875" style="202" customWidth="1"/>
    <col min="10" max="10" width="25.85546875" customWidth="1"/>
    <col min="11" max="11" width="18.7109375" style="231" customWidth="1"/>
    <col min="12" max="12" width="15.42578125" style="2" bestFit="1" customWidth="1"/>
    <col min="13" max="13" width="37.140625" customWidth="1"/>
  </cols>
  <sheetData>
    <row r="1" spans="1:256" s="2" customFormat="1" x14ac:dyDescent="0.3">
      <c r="A1" s="1"/>
      <c r="B1" s="437" t="s">
        <v>0</v>
      </c>
      <c r="C1" s="437"/>
      <c r="D1" s="437"/>
      <c r="E1" s="437"/>
      <c r="F1" s="438"/>
      <c r="G1" s="439"/>
      <c r="H1" s="440"/>
      <c r="I1" s="441"/>
      <c r="J1" s="437"/>
      <c r="K1" s="257"/>
    </row>
    <row r="2" spans="1:256" s="2" customFormat="1" ht="76.5" customHeight="1" x14ac:dyDescent="0.3">
      <c r="A2" s="255"/>
      <c r="B2" s="442" t="s">
        <v>1048</v>
      </c>
      <c r="C2" s="442"/>
      <c r="D2" s="442"/>
      <c r="E2" s="442"/>
      <c r="F2" s="443"/>
      <c r="G2" s="444"/>
      <c r="H2" s="445"/>
      <c r="I2" s="446"/>
      <c r="J2" s="442"/>
      <c r="K2" s="257"/>
    </row>
    <row r="3" spans="1:256" x14ac:dyDescent="0.3">
      <c r="A3" s="447" t="s">
        <v>2</v>
      </c>
      <c r="B3" s="447" t="s">
        <v>3</v>
      </c>
      <c r="C3" s="449" t="s">
        <v>4</v>
      </c>
      <c r="D3" s="447" t="s">
        <v>5</v>
      </c>
      <c r="E3" s="447" t="s">
        <v>6</v>
      </c>
      <c r="F3" s="450" t="s">
        <v>7</v>
      </c>
      <c r="G3" s="451"/>
      <c r="H3" s="448"/>
      <c r="I3" s="452"/>
      <c r="J3" s="448"/>
      <c r="K3" s="426"/>
      <c r="L3" s="260"/>
      <c r="M3" s="427" t="s">
        <v>8</v>
      </c>
    </row>
    <row r="4" spans="1:256" ht="56.25" x14ac:dyDescent="0.3">
      <c r="A4" s="448"/>
      <c r="B4" s="447"/>
      <c r="C4" s="448"/>
      <c r="D4" s="448"/>
      <c r="E4" s="448"/>
      <c r="F4" s="213" t="s">
        <v>9</v>
      </c>
      <c r="G4" s="4" t="s">
        <v>10</v>
      </c>
      <c r="H4" s="5" t="s">
        <v>11</v>
      </c>
      <c r="I4" s="200" t="s">
        <v>12</v>
      </c>
      <c r="J4" s="219" t="s">
        <v>13</v>
      </c>
      <c r="K4" s="426"/>
      <c r="L4" s="260"/>
      <c r="M4" s="428"/>
    </row>
    <row r="5" spans="1:256" x14ac:dyDescent="0.3">
      <c r="A5" s="7" t="s">
        <v>14</v>
      </c>
      <c r="B5" s="8" t="s">
        <v>14</v>
      </c>
      <c r="C5" s="8" t="s">
        <v>15</v>
      </c>
      <c r="D5" s="269">
        <v>4</v>
      </c>
      <c r="E5" s="8" t="s">
        <v>16</v>
      </c>
      <c r="F5" s="258">
        <v>6</v>
      </c>
      <c r="G5" s="259" t="s">
        <v>18</v>
      </c>
      <c r="H5" s="12" t="s">
        <v>19</v>
      </c>
      <c r="I5" s="13" t="s">
        <v>20</v>
      </c>
      <c r="J5" s="220" t="s">
        <v>21</v>
      </c>
      <c r="K5" s="249"/>
      <c r="L5" s="14"/>
      <c r="M5" s="14"/>
    </row>
    <row r="6" spans="1:256" x14ac:dyDescent="0.3">
      <c r="A6" s="15"/>
      <c r="B6" s="15"/>
      <c r="C6" s="429" t="s">
        <v>22</v>
      </c>
      <c r="D6" s="430"/>
      <c r="E6" s="430"/>
      <c r="F6" s="431"/>
      <c r="G6" s="430"/>
      <c r="H6" s="430"/>
      <c r="I6" s="432"/>
      <c r="J6" s="220"/>
      <c r="K6" s="249"/>
      <c r="L6" s="14"/>
      <c r="M6" s="14"/>
    </row>
    <row r="7" spans="1:256" s="290" customFormat="1" ht="56.25" customHeight="1" x14ac:dyDescent="0.3">
      <c r="A7" s="110">
        <v>6</v>
      </c>
      <c r="B7" s="111" t="s">
        <v>1498</v>
      </c>
      <c r="C7" s="433" t="s">
        <v>1499</v>
      </c>
      <c r="D7" s="434"/>
      <c r="E7" s="434"/>
      <c r="F7" s="434"/>
      <c r="G7" s="434"/>
      <c r="H7" s="434"/>
      <c r="I7" s="435"/>
      <c r="J7" s="349">
        <f>SUM(J8:J53)</f>
        <v>7902451000</v>
      </c>
      <c r="K7" s="39">
        <f t="shared" ref="K7:K53" si="0">ROUND(F7*G7*H7*I7,-3)</f>
        <v>0</v>
      </c>
      <c r="L7" s="261">
        <f t="shared" ref="L7:L53" si="1">J7-K7</f>
        <v>7902451000</v>
      </c>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pans="1:256" s="290" customFormat="1" ht="69" customHeight="1" x14ac:dyDescent="0.3">
      <c r="A8" s="110"/>
      <c r="B8" s="111"/>
      <c r="C8" s="128" t="s">
        <v>1500</v>
      </c>
      <c r="D8" s="277" t="s">
        <v>112</v>
      </c>
      <c r="E8" s="182" t="s">
        <v>828</v>
      </c>
      <c r="F8" s="309">
        <v>422</v>
      </c>
      <c r="G8" s="180">
        <v>11100000</v>
      </c>
      <c r="H8" s="355">
        <v>1</v>
      </c>
      <c r="I8" s="418">
        <v>1.4</v>
      </c>
      <c r="J8" s="130">
        <f t="shared" ref="J8:J23" si="2">ROUND(F8*G8*H8*I8,-3)</f>
        <v>6557880000</v>
      </c>
      <c r="K8" s="39">
        <f t="shared" si="0"/>
        <v>6557880000</v>
      </c>
      <c r="L8" s="261">
        <f t="shared" si="1"/>
        <v>0</v>
      </c>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pans="1:256" s="290" customFormat="1" ht="56.25" x14ac:dyDescent="0.3">
      <c r="A9" s="69"/>
      <c r="B9" s="8"/>
      <c r="C9" s="82" t="s">
        <v>1501</v>
      </c>
      <c r="D9" s="419" t="s">
        <v>1502</v>
      </c>
      <c r="E9" s="71" t="s">
        <v>23</v>
      </c>
      <c r="F9" s="74">
        <f>7.4*10.6</f>
        <v>78.44</v>
      </c>
      <c r="G9" s="115">
        <v>2247000</v>
      </c>
      <c r="H9" s="355">
        <v>1</v>
      </c>
      <c r="I9" s="354">
        <v>1.1479999999999999</v>
      </c>
      <c r="J9" s="32">
        <f t="shared" si="2"/>
        <v>202340000</v>
      </c>
      <c r="K9" s="39">
        <f t="shared" si="0"/>
        <v>202340000</v>
      </c>
      <c r="L9" s="261">
        <f t="shared" si="1"/>
        <v>0</v>
      </c>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pans="1:256" s="290" customFormat="1" ht="38.25" x14ac:dyDescent="0.3">
      <c r="A10" s="69"/>
      <c r="B10" s="8"/>
      <c r="C10" s="82" t="s">
        <v>1503</v>
      </c>
      <c r="D10" s="270" t="s">
        <v>80</v>
      </c>
      <c r="E10" s="96" t="s">
        <v>91</v>
      </c>
      <c r="F10" s="74">
        <f>9*6.8</f>
        <v>61.199999999999996</v>
      </c>
      <c r="G10" s="29">
        <v>385000</v>
      </c>
      <c r="H10" s="355">
        <v>1</v>
      </c>
      <c r="I10" s="151">
        <v>1.1479999999999999</v>
      </c>
      <c r="J10" s="32">
        <f t="shared" si="2"/>
        <v>27049000</v>
      </c>
      <c r="K10" s="39">
        <f t="shared" si="0"/>
        <v>27049000</v>
      </c>
      <c r="L10" s="261">
        <f t="shared" si="1"/>
        <v>0</v>
      </c>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pans="1:256" s="290" customFormat="1" ht="37.5" x14ac:dyDescent="0.3">
      <c r="A11" s="69"/>
      <c r="B11" s="8"/>
      <c r="C11" s="82" t="s">
        <v>1504</v>
      </c>
      <c r="D11" s="270" t="s">
        <v>562</v>
      </c>
      <c r="E11" s="71" t="s">
        <v>23</v>
      </c>
      <c r="F11" s="74">
        <f>10.6*2.7</f>
        <v>28.62</v>
      </c>
      <c r="G11" s="29">
        <v>577000</v>
      </c>
      <c r="H11" s="355">
        <v>1</v>
      </c>
      <c r="I11" s="354">
        <v>1.1479999999999999</v>
      </c>
      <c r="J11" s="32">
        <f t="shared" si="2"/>
        <v>18958000</v>
      </c>
      <c r="K11" s="39">
        <f t="shared" si="0"/>
        <v>18958000</v>
      </c>
      <c r="L11" s="261">
        <f t="shared" si="1"/>
        <v>0</v>
      </c>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s="290" customFormat="1" ht="39" customHeight="1" x14ac:dyDescent="0.3">
      <c r="A12" s="69"/>
      <c r="B12" s="8"/>
      <c r="C12" s="82" t="s">
        <v>1505</v>
      </c>
      <c r="D12" s="270" t="s">
        <v>29</v>
      </c>
      <c r="E12" s="96" t="s">
        <v>91</v>
      </c>
      <c r="F12" s="74">
        <f>1.2*1.6+2*3.2</f>
        <v>8.32</v>
      </c>
      <c r="G12" s="29">
        <v>792000</v>
      </c>
      <c r="H12" s="355">
        <v>1</v>
      </c>
      <c r="I12" s="151">
        <v>1.1479999999999999</v>
      </c>
      <c r="J12" s="32">
        <f t="shared" si="2"/>
        <v>7565000</v>
      </c>
      <c r="K12" s="39">
        <f t="shared" si="0"/>
        <v>7565000</v>
      </c>
      <c r="L12" s="261">
        <f t="shared" si="1"/>
        <v>0</v>
      </c>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s="290" customFormat="1" ht="38.25" x14ac:dyDescent="0.3">
      <c r="A13" s="69"/>
      <c r="B13" s="8"/>
      <c r="C13" s="82" t="s">
        <v>1506</v>
      </c>
      <c r="D13" s="271" t="s">
        <v>32</v>
      </c>
      <c r="E13" s="71" t="s">
        <v>23</v>
      </c>
      <c r="F13" s="74">
        <f>1.6*10.6</f>
        <v>16.96</v>
      </c>
      <c r="G13" s="29">
        <v>215000</v>
      </c>
      <c r="H13" s="355">
        <v>1</v>
      </c>
      <c r="I13" s="151">
        <v>1.1479999999999999</v>
      </c>
      <c r="J13" s="32">
        <f t="shared" si="2"/>
        <v>4186000</v>
      </c>
      <c r="K13" s="39">
        <f t="shared" si="0"/>
        <v>4186000</v>
      </c>
      <c r="L13" s="261">
        <f t="shared" si="1"/>
        <v>0</v>
      </c>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s="290" customFormat="1" ht="37.5" x14ac:dyDescent="0.3">
      <c r="A14" s="69"/>
      <c r="B14" s="8"/>
      <c r="C14" s="82" t="s">
        <v>1507</v>
      </c>
      <c r="D14" s="272" t="s">
        <v>33</v>
      </c>
      <c r="E14" s="71" t="s">
        <v>23</v>
      </c>
      <c r="F14" s="74">
        <f>6.6*0.4+4.5*3.3+3.6*2.4</f>
        <v>26.13</v>
      </c>
      <c r="G14" s="29">
        <v>453000</v>
      </c>
      <c r="H14" s="355">
        <v>1</v>
      </c>
      <c r="I14" s="354">
        <v>1.1479999999999999</v>
      </c>
      <c r="J14" s="32">
        <f t="shared" si="2"/>
        <v>13589000</v>
      </c>
      <c r="K14" s="39">
        <f t="shared" si="0"/>
        <v>13589000</v>
      </c>
      <c r="L14" s="261">
        <f t="shared" si="1"/>
        <v>0</v>
      </c>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pans="1:256" s="290" customFormat="1" ht="38.25" x14ac:dyDescent="0.3">
      <c r="A15" s="69"/>
      <c r="B15" s="8"/>
      <c r="C15" s="82" t="s">
        <v>1508</v>
      </c>
      <c r="D15" s="267" t="s">
        <v>89</v>
      </c>
      <c r="E15" s="71" t="s">
        <v>23</v>
      </c>
      <c r="F15" s="74">
        <f>1.2*1.6</f>
        <v>1.92</v>
      </c>
      <c r="G15" s="29">
        <v>11000</v>
      </c>
      <c r="H15" s="355">
        <v>1</v>
      </c>
      <c r="I15" s="354">
        <v>1.1479999999999999</v>
      </c>
      <c r="J15" s="32">
        <f t="shared" si="2"/>
        <v>24000</v>
      </c>
      <c r="K15" s="39">
        <f t="shared" si="0"/>
        <v>24000</v>
      </c>
      <c r="L15" s="261">
        <f t="shared" si="1"/>
        <v>0</v>
      </c>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pans="1:256" s="290" customFormat="1" ht="38.25" x14ac:dyDescent="0.3">
      <c r="A16" s="69"/>
      <c r="B16" s="8"/>
      <c r="C16" s="82" t="s">
        <v>1509</v>
      </c>
      <c r="D16" s="271" t="s">
        <v>32</v>
      </c>
      <c r="E16" s="71" t="s">
        <v>23</v>
      </c>
      <c r="F16" s="74">
        <f>4.5*10.6</f>
        <v>47.699999999999996</v>
      </c>
      <c r="G16" s="29">
        <v>215000</v>
      </c>
      <c r="H16" s="355">
        <v>1</v>
      </c>
      <c r="I16" s="151">
        <v>1.1479999999999999</v>
      </c>
      <c r="J16" s="32">
        <f t="shared" si="2"/>
        <v>11773000</v>
      </c>
      <c r="K16" s="39">
        <f t="shared" si="0"/>
        <v>11773000</v>
      </c>
      <c r="L16" s="261">
        <f t="shared" si="1"/>
        <v>0</v>
      </c>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pans="1:256" s="290" customFormat="1" ht="37.5" x14ac:dyDescent="0.3">
      <c r="A17" s="69"/>
      <c r="B17" s="8"/>
      <c r="C17" s="82" t="s">
        <v>1510</v>
      </c>
      <c r="D17" s="270" t="s">
        <v>55</v>
      </c>
      <c r="E17" s="96" t="s">
        <v>91</v>
      </c>
      <c r="F17" s="74">
        <f>2.2*10.6+0.6*0.4</f>
        <v>23.56</v>
      </c>
      <c r="G17" s="29">
        <v>905000</v>
      </c>
      <c r="H17" s="355">
        <v>1</v>
      </c>
      <c r="I17" s="151">
        <v>1.1479999999999999</v>
      </c>
      <c r="J17" s="32">
        <f t="shared" si="2"/>
        <v>24477000</v>
      </c>
      <c r="K17" s="39">
        <f t="shared" si="0"/>
        <v>24477000</v>
      </c>
      <c r="L17" s="261">
        <f t="shared" si="1"/>
        <v>0</v>
      </c>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pans="1:256" s="290" customFormat="1" ht="39" customHeight="1" x14ac:dyDescent="0.3">
      <c r="A18" s="69"/>
      <c r="B18" s="8"/>
      <c r="C18" s="82" t="s">
        <v>1511</v>
      </c>
      <c r="D18" s="270" t="s">
        <v>52</v>
      </c>
      <c r="E18" s="71" t="s">
        <v>1477</v>
      </c>
      <c r="F18" s="74">
        <f>3.5*0.5</f>
        <v>1.75</v>
      </c>
      <c r="G18" s="11" t="s">
        <v>53</v>
      </c>
      <c r="H18" s="355">
        <v>1</v>
      </c>
      <c r="I18" s="354">
        <v>1.1479999999999999</v>
      </c>
      <c r="J18" s="32">
        <f t="shared" si="2"/>
        <v>474000</v>
      </c>
      <c r="K18" s="39">
        <f t="shared" si="0"/>
        <v>474000</v>
      </c>
      <c r="L18" s="261">
        <f t="shared" si="1"/>
        <v>0</v>
      </c>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pans="1:256" s="290" customFormat="1" ht="39" customHeight="1" x14ac:dyDescent="0.3">
      <c r="A19" s="69"/>
      <c r="B19" s="8"/>
      <c r="C19" s="82" t="s">
        <v>1512</v>
      </c>
      <c r="D19" s="271" t="s">
        <v>94</v>
      </c>
      <c r="E19" s="63" t="s">
        <v>35</v>
      </c>
      <c r="F19" s="98">
        <v>1</v>
      </c>
      <c r="G19" s="112">
        <v>1065100</v>
      </c>
      <c r="H19" s="355">
        <v>1</v>
      </c>
      <c r="I19" s="366">
        <v>1</v>
      </c>
      <c r="J19" s="367">
        <f t="shared" si="2"/>
        <v>1065000</v>
      </c>
      <c r="K19" s="39">
        <f t="shared" si="0"/>
        <v>1065000</v>
      </c>
      <c r="L19" s="261">
        <f t="shared" si="1"/>
        <v>0</v>
      </c>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pans="1:256" s="290" customFormat="1" ht="39" customHeight="1" x14ac:dyDescent="0.3">
      <c r="A20" s="69"/>
      <c r="B20" s="8"/>
      <c r="C20" s="82" t="s">
        <v>1513</v>
      </c>
      <c r="D20" s="269" t="s">
        <v>94</v>
      </c>
      <c r="E20" s="8" t="s">
        <v>35</v>
      </c>
      <c r="F20" s="90">
        <v>1</v>
      </c>
      <c r="G20" s="11">
        <v>532550</v>
      </c>
      <c r="H20" s="355">
        <v>1</v>
      </c>
      <c r="I20" s="166">
        <v>1</v>
      </c>
      <c r="J20" s="367">
        <f t="shared" si="2"/>
        <v>533000</v>
      </c>
      <c r="K20" s="39">
        <f t="shared" si="0"/>
        <v>533000</v>
      </c>
      <c r="L20" s="261">
        <f t="shared" si="1"/>
        <v>0</v>
      </c>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pans="1:256" s="290" customFormat="1" ht="39" customHeight="1" x14ac:dyDescent="0.3">
      <c r="A21" s="69"/>
      <c r="B21" s="8"/>
      <c r="C21" s="82" t="s">
        <v>1514</v>
      </c>
      <c r="D21" s="269" t="s">
        <v>94</v>
      </c>
      <c r="E21" s="8" t="s">
        <v>35</v>
      </c>
      <c r="F21" s="90">
        <v>1</v>
      </c>
      <c r="G21" s="11">
        <v>266280</v>
      </c>
      <c r="H21" s="355">
        <v>1</v>
      </c>
      <c r="I21" s="166">
        <v>1</v>
      </c>
      <c r="J21" s="367">
        <f t="shared" si="2"/>
        <v>266000</v>
      </c>
      <c r="K21" s="39">
        <f t="shared" si="0"/>
        <v>266000</v>
      </c>
      <c r="L21" s="261">
        <f t="shared" si="1"/>
        <v>0</v>
      </c>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pans="1:256" s="290" customFormat="1" ht="39" customHeight="1" x14ac:dyDescent="0.3">
      <c r="A22" s="69"/>
      <c r="B22" s="8"/>
      <c r="C22" s="82" t="s">
        <v>1515</v>
      </c>
      <c r="D22" s="270" t="s">
        <v>66</v>
      </c>
      <c r="E22" s="71" t="s">
        <v>23</v>
      </c>
      <c r="F22" s="74">
        <f>6.6*8.2</f>
        <v>54.11999999999999</v>
      </c>
      <c r="G22" s="29">
        <v>339000</v>
      </c>
      <c r="H22" s="355">
        <v>1</v>
      </c>
      <c r="I22" s="354">
        <v>1.1479999999999999</v>
      </c>
      <c r="J22" s="32">
        <f t="shared" si="2"/>
        <v>21062000</v>
      </c>
      <c r="K22" s="39">
        <f t="shared" si="0"/>
        <v>21062000</v>
      </c>
      <c r="L22" s="261">
        <f t="shared" si="1"/>
        <v>0</v>
      </c>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pans="1:256" s="290" customFormat="1" ht="39" customHeight="1" x14ac:dyDescent="0.3">
      <c r="A23" s="69"/>
      <c r="B23" s="8"/>
      <c r="C23" s="82" t="s">
        <v>1516</v>
      </c>
      <c r="D23" s="271" t="s">
        <v>54</v>
      </c>
      <c r="E23" s="63" t="s">
        <v>23</v>
      </c>
      <c r="F23" s="74">
        <f>2.4*1.4</f>
        <v>3.36</v>
      </c>
      <c r="G23" s="46">
        <v>213000</v>
      </c>
      <c r="H23" s="355">
        <v>1</v>
      </c>
      <c r="I23" s="354">
        <v>1.1479999999999999</v>
      </c>
      <c r="J23" s="378">
        <f t="shared" si="2"/>
        <v>822000</v>
      </c>
      <c r="K23" s="39">
        <f t="shared" si="0"/>
        <v>822000</v>
      </c>
      <c r="L23" s="261">
        <f t="shared" si="1"/>
        <v>0</v>
      </c>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pans="1:256" s="290" customFormat="1" x14ac:dyDescent="0.3">
      <c r="A24" s="110"/>
      <c r="B24" s="118" t="s">
        <v>1517</v>
      </c>
      <c r="C24" s="420" t="s">
        <v>1518</v>
      </c>
      <c r="D24" s="405"/>
      <c r="E24" s="118"/>
      <c r="F24" s="147"/>
      <c r="G24" s="406"/>
      <c r="H24" s="421"/>
      <c r="I24" s="422"/>
      <c r="J24" s="423"/>
      <c r="K24" s="39">
        <f t="shared" si="0"/>
        <v>0</v>
      </c>
      <c r="L24" s="261">
        <f t="shared" si="1"/>
        <v>0</v>
      </c>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pans="1:256" s="290" customFormat="1" ht="38.25" x14ac:dyDescent="0.3">
      <c r="A25" s="69"/>
      <c r="B25" s="8"/>
      <c r="C25" s="82" t="s">
        <v>1519</v>
      </c>
      <c r="D25" s="269" t="s">
        <v>88</v>
      </c>
      <c r="E25" s="8" t="s">
        <v>1520</v>
      </c>
      <c r="F25" s="74">
        <f>0.5*0.5*2.2*2</f>
        <v>1.1000000000000001</v>
      </c>
      <c r="G25" s="11">
        <v>2828000</v>
      </c>
      <c r="H25" s="355">
        <v>1</v>
      </c>
      <c r="I25" s="424">
        <v>1.1479999999999999</v>
      </c>
      <c r="J25" s="423">
        <v>2805000</v>
      </c>
      <c r="K25" s="39">
        <f t="shared" si="0"/>
        <v>3571000</v>
      </c>
      <c r="L25" s="261">
        <f t="shared" si="1"/>
        <v>-766000</v>
      </c>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s="290" customFormat="1" ht="39.75" customHeight="1" x14ac:dyDescent="0.3">
      <c r="A26" s="69"/>
      <c r="B26" s="8"/>
      <c r="C26" s="82" t="s">
        <v>1521</v>
      </c>
      <c r="D26" s="270" t="s">
        <v>30</v>
      </c>
      <c r="E26" s="96" t="s">
        <v>91</v>
      </c>
      <c r="F26" s="74">
        <f>6.4*1.75</f>
        <v>11.200000000000001</v>
      </c>
      <c r="G26" s="11">
        <v>679000</v>
      </c>
      <c r="H26" s="355">
        <v>1</v>
      </c>
      <c r="I26" s="151">
        <v>1.1479999999999999</v>
      </c>
      <c r="J26" s="32">
        <f t="shared" ref="J26:J53" si="3">ROUND(F26*G26*H26*I26,-3)</f>
        <v>8730000</v>
      </c>
      <c r="K26" s="39">
        <f t="shared" si="0"/>
        <v>8730000</v>
      </c>
      <c r="L26" s="261">
        <f t="shared" si="1"/>
        <v>0</v>
      </c>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pans="1:256" s="290" customFormat="1" ht="38.25" x14ac:dyDescent="0.3">
      <c r="A27" s="69"/>
      <c r="B27" s="8"/>
      <c r="C27" s="82" t="s">
        <v>1522</v>
      </c>
      <c r="D27" s="267" t="s">
        <v>207</v>
      </c>
      <c r="E27" s="71" t="s">
        <v>23</v>
      </c>
      <c r="F27" s="74">
        <f>3.6*1.6</f>
        <v>5.7600000000000007</v>
      </c>
      <c r="G27" s="29">
        <v>566000</v>
      </c>
      <c r="H27" s="355">
        <v>1</v>
      </c>
      <c r="I27" s="354">
        <v>1.1479999999999999</v>
      </c>
      <c r="J27" s="32">
        <f t="shared" si="3"/>
        <v>3743000</v>
      </c>
      <c r="K27" s="39">
        <f t="shared" si="0"/>
        <v>3743000</v>
      </c>
      <c r="L27" s="261">
        <f t="shared" si="1"/>
        <v>0</v>
      </c>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pans="1:256" s="290" customFormat="1" ht="36" customHeight="1" x14ac:dyDescent="0.3">
      <c r="A28" s="69"/>
      <c r="B28" s="8"/>
      <c r="C28" s="82" t="s">
        <v>1523</v>
      </c>
      <c r="D28" s="270" t="s">
        <v>31</v>
      </c>
      <c r="E28" s="71" t="s">
        <v>23</v>
      </c>
      <c r="F28" s="74">
        <f>11.3*7.5</f>
        <v>84.75</v>
      </c>
      <c r="G28" s="29">
        <v>339000</v>
      </c>
      <c r="H28" s="355">
        <v>1</v>
      </c>
      <c r="I28" s="151">
        <v>1.1479999999999999</v>
      </c>
      <c r="J28" s="32">
        <f t="shared" si="3"/>
        <v>32982000</v>
      </c>
      <c r="K28" s="39">
        <f t="shared" si="0"/>
        <v>32982000</v>
      </c>
      <c r="L28" s="261">
        <f t="shared" si="1"/>
        <v>0</v>
      </c>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pans="1:256" s="290" customFormat="1" ht="39" customHeight="1" x14ac:dyDescent="0.3">
      <c r="A29" s="117"/>
      <c r="B29" s="118"/>
      <c r="C29" s="106" t="s">
        <v>1524</v>
      </c>
      <c r="D29" s="358" t="s">
        <v>38</v>
      </c>
      <c r="E29" s="359" t="s">
        <v>39</v>
      </c>
      <c r="F29" s="360">
        <v>1</v>
      </c>
      <c r="G29" s="361">
        <v>1358000</v>
      </c>
      <c r="H29" s="355">
        <v>1</v>
      </c>
      <c r="I29" s="363">
        <v>1.1479999999999999</v>
      </c>
      <c r="J29" s="364">
        <f t="shared" si="3"/>
        <v>1559000</v>
      </c>
      <c r="K29" s="39">
        <f t="shared" si="0"/>
        <v>1559000</v>
      </c>
      <c r="L29" s="261">
        <f t="shared" si="1"/>
        <v>0</v>
      </c>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pans="1:256" s="290" customFormat="1" ht="38.25" x14ac:dyDescent="0.3">
      <c r="A30" s="69"/>
      <c r="B30" s="8"/>
      <c r="C30" s="82" t="s">
        <v>1525</v>
      </c>
      <c r="D30" s="267" t="s">
        <v>24</v>
      </c>
      <c r="E30" s="8" t="s">
        <v>25</v>
      </c>
      <c r="F30" s="74">
        <f>2.1*1.3*0.22</f>
        <v>0.60060000000000013</v>
      </c>
      <c r="G30" s="29">
        <v>2828000</v>
      </c>
      <c r="H30" s="355">
        <v>1</v>
      </c>
      <c r="I30" s="151">
        <v>1.1479999999999999</v>
      </c>
      <c r="J30" s="32">
        <f t="shared" si="3"/>
        <v>1950000</v>
      </c>
      <c r="K30" s="39">
        <f t="shared" si="0"/>
        <v>1950000</v>
      </c>
      <c r="L30" s="261">
        <f t="shared" si="1"/>
        <v>0</v>
      </c>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pans="1:256" s="290" customFormat="1" ht="37.5" customHeight="1" x14ac:dyDescent="0.3">
      <c r="A31" s="69"/>
      <c r="B31" s="8"/>
      <c r="C31" s="82" t="s">
        <v>1526</v>
      </c>
      <c r="D31" s="270" t="s">
        <v>66</v>
      </c>
      <c r="E31" s="71" t="s">
        <v>23</v>
      </c>
      <c r="F31" s="74">
        <f>1.3*1.3+2*1.3</f>
        <v>4.29</v>
      </c>
      <c r="G31" s="29">
        <v>339000</v>
      </c>
      <c r="H31" s="355">
        <v>1</v>
      </c>
      <c r="I31" s="354">
        <v>1.1479999999999999</v>
      </c>
      <c r="J31" s="32">
        <f t="shared" si="3"/>
        <v>1670000</v>
      </c>
      <c r="K31" s="39">
        <f t="shared" si="0"/>
        <v>1670000</v>
      </c>
      <c r="L31" s="261">
        <f t="shared" si="1"/>
        <v>0</v>
      </c>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pans="1:256" s="290" customFormat="1" ht="37.5" customHeight="1" x14ac:dyDescent="0.3">
      <c r="A32" s="69"/>
      <c r="B32" s="8"/>
      <c r="C32" s="82" t="s">
        <v>1527</v>
      </c>
      <c r="D32" s="267" t="s">
        <v>24</v>
      </c>
      <c r="E32" s="8" t="s">
        <v>25</v>
      </c>
      <c r="F32" s="74">
        <f>0.1*0.1*1.75*2</f>
        <v>3.5000000000000003E-2</v>
      </c>
      <c r="G32" s="29">
        <v>2828000</v>
      </c>
      <c r="H32" s="355">
        <v>1</v>
      </c>
      <c r="I32" s="354">
        <v>1.1479999999999999</v>
      </c>
      <c r="J32" s="32">
        <f t="shared" si="3"/>
        <v>114000</v>
      </c>
      <c r="K32" s="39">
        <f t="shared" si="0"/>
        <v>114000</v>
      </c>
      <c r="L32" s="261">
        <f t="shared" si="1"/>
        <v>0</v>
      </c>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pans="1:256" s="290" customFormat="1" ht="37.5" customHeight="1" x14ac:dyDescent="0.3">
      <c r="A33" s="69"/>
      <c r="B33" s="8"/>
      <c r="C33" s="82" t="s">
        <v>1528</v>
      </c>
      <c r="D33" s="267" t="s">
        <v>24</v>
      </c>
      <c r="E33" s="8" t="s">
        <v>25</v>
      </c>
      <c r="F33" s="74">
        <f>1.25*1.4*0.1</f>
        <v>0.17500000000000002</v>
      </c>
      <c r="G33" s="29">
        <v>2828000</v>
      </c>
      <c r="H33" s="355">
        <v>1</v>
      </c>
      <c r="I33" s="151">
        <v>1.1479999999999999</v>
      </c>
      <c r="J33" s="32">
        <f t="shared" si="3"/>
        <v>568000</v>
      </c>
      <c r="K33" s="39">
        <f t="shared" si="0"/>
        <v>568000</v>
      </c>
      <c r="L33" s="261">
        <f t="shared" si="1"/>
        <v>0</v>
      </c>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pans="1:256" s="290" customFormat="1" ht="37.5" customHeight="1" x14ac:dyDescent="0.3">
      <c r="A34" s="69"/>
      <c r="B34" s="8"/>
      <c r="C34" s="82" t="s">
        <v>1529</v>
      </c>
      <c r="D34" s="271" t="s">
        <v>32</v>
      </c>
      <c r="E34" s="71" t="s">
        <v>23</v>
      </c>
      <c r="F34" s="74">
        <f>4.6*10.4</f>
        <v>47.839999999999996</v>
      </c>
      <c r="G34" s="29">
        <v>215000</v>
      </c>
      <c r="H34" s="355">
        <v>1</v>
      </c>
      <c r="I34" s="151">
        <v>1.1479999999999999</v>
      </c>
      <c r="J34" s="32">
        <f t="shared" si="3"/>
        <v>11808000</v>
      </c>
      <c r="K34" s="39">
        <f t="shared" si="0"/>
        <v>11808000</v>
      </c>
      <c r="L34" s="261">
        <f t="shared" si="1"/>
        <v>0</v>
      </c>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pans="1:256" s="290" customFormat="1" ht="32.25" customHeight="1" x14ac:dyDescent="0.3">
      <c r="A35" s="69"/>
      <c r="B35" s="8"/>
      <c r="C35" s="82" t="s">
        <v>1530</v>
      </c>
      <c r="D35" s="271" t="s">
        <v>94</v>
      </c>
      <c r="E35" s="63" t="s">
        <v>35</v>
      </c>
      <c r="F35" s="98">
        <v>1</v>
      </c>
      <c r="G35" s="112">
        <v>1065100</v>
      </c>
      <c r="H35" s="355">
        <v>1</v>
      </c>
      <c r="I35" s="366">
        <v>1</v>
      </c>
      <c r="J35" s="367">
        <f t="shared" si="3"/>
        <v>1065000</v>
      </c>
      <c r="K35" s="39">
        <f t="shared" si="0"/>
        <v>1065000</v>
      </c>
      <c r="L35" s="261">
        <f t="shared" si="1"/>
        <v>0</v>
      </c>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pans="1:256" s="290" customFormat="1" ht="56.25" x14ac:dyDescent="0.3">
      <c r="A36" s="67"/>
      <c r="B36" s="8" t="s">
        <v>1517</v>
      </c>
      <c r="C36" s="82" t="s">
        <v>1531</v>
      </c>
      <c r="D36" s="271" t="s">
        <v>1532</v>
      </c>
      <c r="E36" s="71" t="s">
        <v>23</v>
      </c>
      <c r="F36" s="74">
        <f>9.1*9.1</f>
        <v>82.809999999999988</v>
      </c>
      <c r="G36" s="11">
        <v>2749000</v>
      </c>
      <c r="H36" s="355">
        <v>1</v>
      </c>
      <c r="I36" s="354">
        <v>1.1479999999999999</v>
      </c>
      <c r="J36" s="32">
        <f t="shared" si="3"/>
        <v>261336000</v>
      </c>
      <c r="K36" s="39">
        <f t="shared" si="0"/>
        <v>261336000</v>
      </c>
      <c r="L36" s="261">
        <f t="shared" si="1"/>
        <v>0</v>
      </c>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pans="1:256" s="290" customFormat="1" ht="58.5" customHeight="1" x14ac:dyDescent="0.3">
      <c r="A37" s="69"/>
      <c r="B37" s="8"/>
      <c r="C37" s="82" t="s">
        <v>1533</v>
      </c>
      <c r="D37" s="270" t="s">
        <v>66</v>
      </c>
      <c r="E37" s="71" t="s">
        <v>23</v>
      </c>
      <c r="F37" s="74">
        <f>2.1*3.2+4*4.2+4.8*8.8+4*1.6+7*1.2+9.1*0.2</f>
        <v>82.38000000000001</v>
      </c>
      <c r="G37" s="29">
        <v>339000</v>
      </c>
      <c r="H37" s="355">
        <v>1</v>
      </c>
      <c r="I37" s="354">
        <v>1.1479999999999999</v>
      </c>
      <c r="J37" s="32">
        <f t="shared" si="3"/>
        <v>32060000</v>
      </c>
      <c r="K37" s="39">
        <f t="shared" si="0"/>
        <v>32060000</v>
      </c>
      <c r="L37" s="261">
        <f t="shared" si="1"/>
        <v>0</v>
      </c>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s="290" customFormat="1" ht="43.5" customHeight="1" x14ac:dyDescent="0.3">
      <c r="A38" s="69"/>
      <c r="B38" s="8"/>
      <c r="C38" s="82" t="s">
        <v>1534</v>
      </c>
      <c r="D38" s="270" t="s">
        <v>28</v>
      </c>
      <c r="E38" s="71" t="s">
        <v>23</v>
      </c>
      <c r="F38" s="74">
        <f>1*1.8+1.5*0.7+2*0.5</f>
        <v>3.8499999999999996</v>
      </c>
      <c r="G38" s="11">
        <v>396000</v>
      </c>
      <c r="H38" s="355">
        <v>1</v>
      </c>
      <c r="I38" s="151">
        <v>1.1479999999999999</v>
      </c>
      <c r="J38" s="32">
        <f t="shared" si="3"/>
        <v>1750000</v>
      </c>
      <c r="K38" s="39">
        <f t="shared" si="0"/>
        <v>1750000</v>
      </c>
      <c r="L38" s="261">
        <f t="shared" si="1"/>
        <v>0</v>
      </c>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pans="1:256" s="290" customFormat="1" ht="43.5" customHeight="1" x14ac:dyDescent="0.3">
      <c r="A39" s="69"/>
      <c r="B39" s="8"/>
      <c r="C39" s="82" t="s">
        <v>1535</v>
      </c>
      <c r="D39" s="270" t="s">
        <v>52</v>
      </c>
      <c r="E39" s="71" t="s">
        <v>1477</v>
      </c>
      <c r="F39" s="74">
        <f>4.8*8.8+4*4.2</f>
        <v>59.040000000000006</v>
      </c>
      <c r="G39" s="11" t="s">
        <v>53</v>
      </c>
      <c r="H39" s="355">
        <v>1</v>
      </c>
      <c r="I39" s="354">
        <v>1.1479999999999999</v>
      </c>
      <c r="J39" s="32">
        <f t="shared" si="3"/>
        <v>15996000</v>
      </c>
      <c r="K39" s="39">
        <f t="shared" si="0"/>
        <v>15996000</v>
      </c>
      <c r="L39" s="261">
        <f t="shared" si="1"/>
        <v>0</v>
      </c>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pans="1:256" s="290" customFormat="1" ht="43.5" customHeight="1" x14ac:dyDescent="0.3">
      <c r="A40" s="69"/>
      <c r="B40" s="8"/>
      <c r="C40" s="82" t="s">
        <v>1536</v>
      </c>
      <c r="D40" s="271" t="s">
        <v>32</v>
      </c>
      <c r="E40" s="71" t="s">
        <v>23</v>
      </c>
      <c r="F40" s="74">
        <f>4.5*9.1</f>
        <v>40.949999999999996</v>
      </c>
      <c r="G40" s="29">
        <v>215000</v>
      </c>
      <c r="H40" s="355">
        <v>1</v>
      </c>
      <c r="I40" s="151">
        <v>1.1479999999999999</v>
      </c>
      <c r="J40" s="32">
        <f t="shared" si="3"/>
        <v>10107000</v>
      </c>
      <c r="K40" s="39">
        <f t="shared" si="0"/>
        <v>10107000</v>
      </c>
      <c r="L40" s="261">
        <f t="shared" si="1"/>
        <v>0</v>
      </c>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pans="1:256" s="290" customFormat="1" ht="43.5" customHeight="1" x14ac:dyDescent="0.3">
      <c r="A41" s="69"/>
      <c r="B41" s="8"/>
      <c r="C41" s="82" t="s">
        <v>1537</v>
      </c>
      <c r="D41" s="270" t="s">
        <v>51</v>
      </c>
      <c r="E41" s="71" t="s">
        <v>23</v>
      </c>
      <c r="F41" s="74">
        <f>9.1*1.2</f>
        <v>10.92</v>
      </c>
      <c r="G41" s="29">
        <v>453000</v>
      </c>
      <c r="H41" s="355">
        <v>1</v>
      </c>
      <c r="I41" s="354">
        <v>1.1479999999999999</v>
      </c>
      <c r="J41" s="32">
        <f t="shared" si="3"/>
        <v>5679000</v>
      </c>
      <c r="K41" s="39">
        <f t="shared" si="0"/>
        <v>5679000</v>
      </c>
      <c r="L41" s="261">
        <f t="shared" si="1"/>
        <v>0</v>
      </c>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pans="1:256" s="290" customFormat="1" ht="25.5" x14ac:dyDescent="0.3">
      <c r="A42" s="69"/>
      <c r="B42" s="8"/>
      <c r="C42" s="82" t="s">
        <v>1410</v>
      </c>
      <c r="D42" s="271" t="s">
        <v>94</v>
      </c>
      <c r="E42" s="63" t="s">
        <v>35</v>
      </c>
      <c r="F42" s="98">
        <v>1</v>
      </c>
      <c r="G42" s="112">
        <v>1065100</v>
      </c>
      <c r="H42" s="355">
        <v>1</v>
      </c>
      <c r="I42" s="366">
        <v>1</v>
      </c>
      <c r="J42" s="367">
        <f t="shared" si="3"/>
        <v>1065000</v>
      </c>
      <c r="K42" s="39">
        <f t="shared" si="0"/>
        <v>1065000</v>
      </c>
      <c r="L42" s="261">
        <f t="shared" si="1"/>
        <v>0</v>
      </c>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pans="1:256" s="290" customFormat="1" ht="93.75" x14ac:dyDescent="0.3">
      <c r="A43" s="67"/>
      <c r="B43" s="8" t="s">
        <v>1517</v>
      </c>
      <c r="C43" s="82" t="s">
        <v>1538</v>
      </c>
      <c r="D43" s="269" t="s">
        <v>63</v>
      </c>
      <c r="E43" s="71" t="s">
        <v>23</v>
      </c>
      <c r="F43" s="74">
        <f>5*9.9</f>
        <v>49.5</v>
      </c>
      <c r="G43" s="11">
        <f>2975000-99000</f>
        <v>2876000</v>
      </c>
      <c r="H43" s="355">
        <v>1</v>
      </c>
      <c r="I43" s="354">
        <v>1.1479999999999999</v>
      </c>
      <c r="J43" s="32">
        <f t="shared" si="3"/>
        <v>163432000</v>
      </c>
      <c r="K43" s="39">
        <f t="shared" si="0"/>
        <v>163432000</v>
      </c>
      <c r="L43" s="261">
        <f t="shared" si="1"/>
        <v>0</v>
      </c>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pans="1:256" s="290" customFormat="1" ht="75" x14ac:dyDescent="0.3">
      <c r="A44" s="69"/>
      <c r="B44" s="8"/>
      <c r="C44" s="82" t="s">
        <v>1539</v>
      </c>
      <c r="D44" s="271" t="s">
        <v>1502</v>
      </c>
      <c r="E44" s="71" t="s">
        <v>23</v>
      </c>
      <c r="F44" s="74">
        <f>6.1*9.2</f>
        <v>56.11999999999999</v>
      </c>
      <c r="G44" s="11">
        <v>2247000</v>
      </c>
      <c r="H44" s="355">
        <v>1</v>
      </c>
      <c r="I44" s="354">
        <v>1.1479999999999999</v>
      </c>
      <c r="J44" s="32">
        <f t="shared" si="3"/>
        <v>144765000</v>
      </c>
      <c r="K44" s="39">
        <f t="shared" si="0"/>
        <v>144765000</v>
      </c>
      <c r="L44" s="261">
        <f t="shared" si="1"/>
        <v>0</v>
      </c>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pans="1:256" s="290" customFormat="1" ht="38.25" x14ac:dyDescent="0.3">
      <c r="A45" s="69"/>
      <c r="B45" s="8"/>
      <c r="C45" s="82" t="s">
        <v>1540</v>
      </c>
      <c r="D45" s="271" t="s">
        <v>32</v>
      </c>
      <c r="E45" s="71" t="s">
        <v>23</v>
      </c>
      <c r="F45" s="74">
        <f>9.8*4.7+4.7*11.1</f>
        <v>98.23</v>
      </c>
      <c r="G45" s="29">
        <v>215000</v>
      </c>
      <c r="H45" s="355">
        <v>1</v>
      </c>
      <c r="I45" s="151">
        <v>1.1479999999999999</v>
      </c>
      <c r="J45" s="32">
        <f t="shared" si="3"/>
        <v>24245000</v>
      </c>
      <c r="K45" s="39">
        <f t="shared" si="0"/>
        <v>24245000</v>
      </c>
      <c r="L45" s="261">
        <f t="shared" si="1"/>
        <v>0</v>
      </c>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row>
    <row r="46" spans="1:256" s="290" customFormat="1" ht="37.5" customHeight="1" x14ac:dyDescent="0.3">
      <c r="A46" s="69"/>
      <c r="B46" s="8"/>
      <c r="C46" s="82" t="s">
        <v>1541</v>
      </c>
      <c r="D46" s="270" t="s">
        <v>51</v>
      </c>
      <c r="E46" s="71" t="s">
        <v>23</v>
      </c>
      <c r="F46" s="74">
        <f>1.2*11.1</f>
        <v>13.319999999999999</v>
      </c>
      <c r="G46" s="29">
        <v>453000</v>
      </c>
      <c r="H46" s="355">
        <v>1</v>
      </c>
      <c r="I46" s="354">
        <v>1.1479999999999999</v>
      </c>
      <c r="J46" s="32">
        <f t="shared" si="3"/>
        <v>6927000</v>
      </c>
      <c r="K46" s="39">
        <f t="shared" si="0"/>
        <v>6927000</v>
      </c>
      <c r="L46" s="261">
        <f t="shared" si="1"/>
        <v>0</v>
      </c>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row>
    <row r="47" spans="1:256" s="290" customFormat="1" ht="75" x14ac:dyDescent="0.3">
      <c r="A47" s="69"/>
      <c r="B47" s="8"/>
      <c r="C47" s="82" t="s">
        <v>1542</v>
      </c>
      <c r="D47" s="271" t="s">
        <v>1502</v>
      </c>
      <c r="E47" s="71" t="s">
        <v>23</v>
      </c>
      <c r="F47" s="74">
        <f>3.3*9</f>
        <v>29.7</v>
      </c>
      <c r="G47" s="11">
        <f>2247000+99000</f>
        <v>2346000</v>
      </c>
      <c r="H47" s="355">
        <v>1</v>
      </c>
      <c r="I47" s="354">
        <v>1.1479999999999999</v>
      </c>
      <c r="J47" s="32">
        <f t="shared" si="3"/>
        <v>79988000</v>
      </c>
      <c r="K47" s="39">
        <f t="shared" si="0"/>
        <v>79988000</v>
      </c>
      <c r="L47" s="261">
        <f t="shared" si="1"/>
        <v>0</v>
      </c>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row>
    <row r="48" spans="1:256" s="290" customFormat="1" ht="38.25" customHeight="1" x14ac:dyDescent="0.3">
      <c r="A48" s="69"/>
      <c r="B48" s="8"/>
      <c r="C48" s="82" t="s">
        <v>1543</v>
      </c>
      <c r="D48" s="270" t="s">
        <v>66</v>
      </c>
      <c r="E48" s="71" t="s">
        <v>23</v>
      </c>
      <c r="F48" s="74">
        <f>14.7*1.5</f>
        <v>22.049999999999997</v>
      </c>
      <c r="G48" s="29">
        <v>339000</v>
      </c>
      <c r="H48" s="355">
        <v>1</v>
      </c>
      <c r="I48" s="354">
        <v>1.1479999999999999</v>
      </c>
      <c r="J48" s="32">
        <f t="shared" si="3"/>
        <v>8581000</v>
      </c>
      <c r="K48" s="39">
        <f t="shared" si="0"/>
        <v>8581000</v>
      </c>
      <c r="L48" s="261">
        <f t="shared" si="1"/>
        <v>0</v>
      </c>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row>
    <row r="49" spans="1:256" s="290" customFormat="1" ht="75" x14ac:dyDescent="0.3">
      <c r="A49" s="69"/>
      <c r="B49" s="8"/>
      <c r="C49" s="82" t="s">
        <v>1544</v>
      </c>
      <c r="D49" s="269" t="s">
        <v>1545</v>
      </c>
      <c r="E49" s="71" t="s">
        <v>23</v>
      </c>
      <c r="F49" s="74">
        <f>6.5*8.2</f>
        <v>53.3</v>
      </c>
      <c r="G49" s="11">
        <f>2749000+99000</f>
        <v>2848000</v>
      </c>
      <c r="H49" s="355">
        <v>1</v>
      </c>
      <c r="I49" s="354">
        <v>1.1479999999999999</v>
      </c>
      <c r="J49" s="32">
        <f t="shared" si="3"/>
        <v>174265000</v>
      </c>
      <c r="K49" s="39">
        <f t="shared" si="0"/>
        <v>174265000</v>
      </c>
      <c r="L49" s="261">
        <f t="shared" si="1"/>
        <v>0</v>
      </c>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row>
    <row r="50" spans="1:256" s="290" customFormat="1" ht="39" customHeight="1" x14ac:dyDescent="0.3">
      <c r="A50" s="69"/>
      <c r="B50" s="8"/>
      <c r="C50" s="82" t="s">
        <v>1546</v>
      </c>
      <c r="D50" s="270" t="s">
        <v>52</v>
      </c>
      <c r="E50" s="71" t="s">
        <v>1477</v>
      </c>
      <c r="F50" s="74">
        <f>6.6*6.2</f>
        <v>40.92</v>
      </c>
      <c r="G50" s="11" t="s">
        <v>53</v>
      </c>
      <c r="H50" s="355">
        <v>1</v>
      </c>
      <c r="I50" s="354">
        <v>1.1479999999999999</v>
      </c>
      <c r="J50" s="32">
        <f t="shared" si="3"/>
        <v>11086000</v>
      </c>
      <c r="K50" s="39">
        <f t="shared" si="0"/>
        <v>11086000</v>
      </c>
      <c r="L50" s="261">
        <f t="shared" si="1"/>
        <v>0</v>
      </c>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row>
    <row r="51" spans="1:256" s="290" customFormat="1" ht="34.5" customHeight="1" x14ac:dyDescent="0.3">
      <c r="A51" s="69"/>
      <c r="B51" s="8"/>
      <c r="C51" s="82" t="s">
        <v>1547</v>
      </c>
      <c r="D51" s="269" t="s">
        <v>94</v>
      </c>
      <c r="E51" s="8" t="s">
        <v>35</v>
      </c>
      <c r="F51" s="90">
        <v>3</v>
      </c>
      <c r="G51" s="11">
        <v>532550</v>
      </c>
      <c r="H51" s="355">
        <v>1</v>
      </c>
      <c r="I51" s="166">
        <v>1</v>
      </c>
      <c r="J51" s="367">
        <f t="shared" si="3"/>
        <v>1598000</v>
      </c>
      <c r="K51" s="39">
        <f t="shared" si="0"/>
        <v>1598000</v>
      </c>
      <c r="L51" s="261">
        <f t="shared" si="1"/>
        <v>0</v>
      </c>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row>
    <row r="52" spans="1:256" s="290" customFormat="1" ht="38.25" x14ac:dyDescent="0.3">
      <c r="A52" s="104"/>
      <c r="B52" s="105"/>
      <c r="C52" s="113" t="s">
        <v>1548</v>
      </c>
      <c r="D52" s="399" t="s">
        <v>44</v>
      </c>
      <c r="E52" s="126" t="s">
        <v>45</v>
      </c>
      <c r="F52" s="123">
        <v>8</v>
      </c>
      <c r="G52" s="177">
        <v>28000</v>
      </c>
      <c r="H52" s="355">
        <v>1</v>
      </c>
      <c r="I52" s="400">
        <v>1.1479999999999999</v>
      </c>
      <c r="J52" s="378">
        <f t="shared" si="3"/>
        <v>257000</v>
      </c>
      <c r="K52" s="39">
        <f t="shared" si="0"/>
        <v>257000</v>
      </c>
      <c r="L52" s="261">
        <f t="shared" si="1"/>
        <v>0</v>
      </c>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row>
    <row r="53" spans="1:256" s="290" customFormat="1" ht="38.25" x14ac:dyDescent="0.3">
      <c r="A53" s="69"/>
      <c r="B53" s="8"/>
      <c r="C53" s="113" t="s">
        <v>1549</v>
      </c>
      <c r="D53" s="271" t="s">
        <v>47</v>
      </c>
      <c r="E53" s="63" t="s">
        <v>45</v>
      </c>
      <c r="F53" s="157">
        <v>8</v>
      </c>
      <c r="G53" s="46">
        <v>28000</v>
      </c>
      <c r="H53" s="355">
        <v>1</v>
      </c>
      <c r="I53" s="354">
        <v>1.1479999999999999</v>
      </c>
      <c r="J53" s="378">
        <f t="shared" si="3"/>
        <v>257000</v>
      </c>
      <c r="K53" s="39">
        <f t="shared" si="0"/>
        <v>257000</v>
      </c>
      <c r="L53" s="261">
        <f t="shared" si="1"/>
        <v>0</v>
      </c>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row>
    <row r="54" spans="1:256" s="290" customFormat="1" ht="49.5" customHeight="1" x14ac:dyDescent="0.3">
      <c r="A54" s="211">
        <v>1</v>
      </c>
      <c r="B54" s="17" t="s">
        <v>1391</v>
      </c>
      <c r="C54" s="433" t="s">
        <v>1392</v>
      </c>
      <c r="D54" s="434"/>
      <c r="E54" s="434"/>
      <c r="F54" s="434"/>
      <c r="G54" s="434"/>
      <c r="H54" s="434"/>
      <c r="I54" s="435"/>
      <c r="J54" s="349">
        <f>SUM(J55:J88)</f>
        <v>2844639000</v>
      </c>
      <c r="K54" s="39">
        <f t="shared" ref="K54:K89" si="4">ROUND(F54*G54*H54*I54,-3)</f>
        <v>0</v>
      </c>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c r="II54" s="14"/>
      <c r="IJ54" s="14"/>
      <c r="IK54" s="14"/>
      <c r="IL54" s="14"/>
      <c r="IM54" s="14"/>
      <c r="IN54" s="14"/>
      <c r="IO54" s="14"/>
      <c r="IP54" s="14"/>
      <c r="IQ54" s="14"/>
      <c r="IR54" s="14"/>
      <c r="IS54" s="14"/>
      <c r="IT54" s="14"/>
      <c r="IU54" s="14"/>
      <c r="IV54" s="14"/>
    </row>
    <row r="55" spans="1:256" s="290" customFormat="1" ht="59.25" customHeight="1" x14ac:dyDescent="0.3">
      <c r="A55" s="211"/>
      <c r="B55" s="17"/>
      <c r="C55" s="128" t="s">
        <v>1393</v>
      </c>
      <c r="D55" s="277" t="s">
        <v>112</v>
      </c>
      <c r="E55" s="182" t="s">
        <v>828</v>
      </c>
      <c r="F55" s="309">
        <v>156.6</v>
      </c>
      <c r="G55" s="350">
        <v>11100000</v>
      </c>
      <c r="H55" s="351">
        <v>1</v>
      </c>
      <c r="I55" s="352">
        <v>1.4</v>
      </c>
      <c r="J55" s="130">
        <f t="shared" ref="J55:J88" si="5">ROUND(F55*G55*H55*I55,-3)</f>
        <v>2433564000</v>
      </c>
      <c r="K55" s="39">
        <f t="shared" si="4"/>
        <v>2433564000</v>
      </c>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c r="IH55" s="14"/>
      <c r="II55" s="14"/>
      <c r="IJ55" s="14"/>
      <c r="IK55" s="14"/>
      <c r="IL55" s="14"/>
      <c r="IM55" s="14"/>
      <c r="IN55" s="14"/>
      <c r="IO55" s="14"/>
      <c r="IP55" s="14"/>
      <c r="IQ55" s="14"/>
      <c r="IR55" s="14"/>
      <c r="IS55" s="14"/>
      <c r="IT55" s="14"/>
      <c r="IU55" s="14"/>
      <c r="IV55" s="14"/>
    </row>
    <row r="56" spans="1:256" s="290" customFormat="1" ht="75" x14ac:dyDescent="0.3">
      <c r="A56" s="69"/>
      <c r="B56" s="8"/>
      <c r="C56" s="82" t="s">
        <v>1394</v>
      </c>
      <c r="D56" s="353" t="s">
        <v>1395</v>
      </c>
      <c r="E56" s="27" t="s">
        <v>23</v>
      </c>
      <c r="F56" s="74">
        <f>2.65*4.9</f>
        <v>12.985000000000001</v>
      </c>
      <c r="G56" s="11">
        <v>5046000</v>
      </c>
      <c r="H56" s="323">
        <v>1</v>
      </c>
      <c r="I56" s="354">
        <v>1.1479999999999999</v>
      </c>
      <c r="J56" s="32">
        <f t="shared" si="5"/>
        <v>75220000</v>
      </c>
      <c r="K56" s="39">
        <f t="shared" si="4"/>
        <v>75220000</v>
      </c>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c r="IE56" s="14"/>
      <c r="IF56" s="14"/>
      <c r="IG56" s="14"/>
      <c r="IH56" s="14"/>
      <c r="II56" s="14"/>
      <c r="IJ56" s="14"/>
      <c r="IK56" s="14"/>
      <c r="IL56" s="14"/>
      <c r="IM56" s="14"/>
      <c r="IN56" s="14"/>
      <c r="IO56" s="14"/>
      <c r="IP56" s="14"/>
      <c r="IQ56" s="14"/>
      <c r="IR56" s="14"/>
      <c r="IS56" s="14"/>
      <c r="IT56" s="14"/>
      <c r="IU56" s="14"/>
      <c r="IV56" s="14"/>
    </row>
    <row r="57" spans="1:256" s="290" customFormat="1" ht="42.75" customHeight="1" x14ac:dyDescent="0.3">
      <c r="A57" s="69"/>
      <c r="B57" s="8"/>
      <c r="C57" s="82" t="s">
        <v>1396</v>
      </c>
      <c r="D57" s="267" t="s">
        <v>24</v>
      </c>
      <c r="E57" s="8" t="s">
        <v>25</v>
      </c>
      <c r="F57" s="74">
        <f>(0.56*0.56*2)*2</f>
        <v>1.2544000000000002</v>
      </c>
      <c r="G57" s="29">
        <v>2828000</v>
      </c>
      <c r="H57" s="355">
        <v>1</v>
      </c>
      <c r="I57" s="354">
        <v>1.1479999999999999</v>
      </c>
      <c r="J57" s="32">
        <f t="shared" si="5"/>
        <v>4072000</v>
      </c>
      <c r="K57" s="39">
        <f t="shared" si="4"/>
        <v>4072000</v>
      </c>
      <c r="M57" s="356" t="s">
        <v>1397</v>
      </c>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row>
    <row r="58" spans="1:256" s="290" customFormat="1" ht="42.75" customHeight="1" x14ac:dyDescent="0.3">
      <c r="A58" s="69"/>
      <c r="B58" s="8"/>
      <c r="C58" s="82" t="s">
        <v>1398</v>
      </c>
      <c r="D58" s="271" t="s">
        <v>32</v>
      </c>
      <c r="E58" s="71" t="s">
        <v>23</v>
      </c>
      <c r="F58" s="74">
        <f>5.3*8.5</f>
        <v>45.05</v>
      </c>
      <c r="G58" s="29">
        <v>215000</v>
      </c>
      <c r="H58" s="357">
        <v>0.8</v>
      </c>
      <c r="I58" s="151">
        <v>1.1479999999999999</v>
      </c>
      <c r="J58" s="32">
        <f t="shared" si="5"/>
        <v>8895000</v>
      </c>
      <c r="K58" s="39">
        <f t="shared" si="4"/>
        <v>8895000</v>
      </c>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c r="II58" s="14"/>
      <c r="IJ58" s="14"/>
      <c r="IK58" s="14"/>
      <c r="IL58" s="14"/>
      <c r="IM58" s="14"/>
      <c r="IN58" s="14"/>
      <c r="IO58" s="14"/>
      <c r="IP58" s="14"/>
      <c r="IQ58" s="14"/>
      <c r="IR58" s="14"/>
      <c r="IS58" s="14"/>
      <c r="IT58" s="14"/>
      <c r="IU58" s="14"/>
      <c r="IV58" s="14"/>
    </row>
    <row r="59" spans="1:256" s="290" customFormat="1" ht="42.75" customHeight="1" x14ac:dyDescent="0.3">
      <c r="A59" s="69"/>
      <c r="B59" s="8"/>
      <c r="C59" s="82" t="s">
        <v>1399</v>
      </c>
      <c r="D59" s="270" t="s">
        <v>31</v>
      </c>
      <c r="E59" s="71" t="s">
        <v>23</v>
      </c>
      <c r="F59" s="74">
        <f>7*8.9+2.7*4.3</f>
        <v>73.91</v>
      </c>
      <c r="G59" s="29">
        <v>339000</v>
      </c>
      <c r="H59" s="357">
        <v>1</v>
      </c>
      <c r="I59" s="151">
        <v>1.1479999999999999</v>
      </c>
      <c r="J59" s="32">
        <f t="shared" si="5"/>
        <v>28764000</v>
      </c>
      <c r="K59" s="39">
        <f t="shared" si="4"/>
        <v>28764000</v>
      </c>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c r="ID59" s="14"/>
      <c r="IE59" s="14"/>
      <c r="IF59" s="14"/>
      <c r="IG59" s="14"/>
      <c r="IH59" s="14"/>
      <c r="II59" s="14"/>
      <c r="IJ59" s="14"/>
      <c r="IK59" s="14"/>
      <c r="IL59" s="14"/>
      <c r="IM59" s="14"/>
      <c r="IN59" s="14"/>
      <c r="IO59" s="14"/>
      <c r="IP59" s="14"/>
      <c r="IQ59" s="14"/>
      <c r="IR59" s="14"/>
      <c r="IS59" s="14"/>
      <c r="IT59" s="14"/>
      <c r="IU59" s="14"/>
      <c r="IV59" s="14"/>
    </row>
    <row r="60" spans="1:256" s="290" customFormat="1" ht="42.75" customHeight="1" x14ac:dyDescent="0.3">
      <c r="A60" s="69"/>
      <c r="B60" s="8"/>
      <c r="C60" s="82" t="s">
        <v>1400</v>
      </c>
      <c r="D60" s="270" t="s">
        <v>29</v>
      </c>
      <c r="E60" s="96" t="s">
        <v>91</v>
      </c>
      <c r="F60" s="74">
        <f>10.5*0.6+12.9*0.6</f>
        <v>14.04</v>
      </c>
      <c r="G60" s="29">
        <v>792000</v>
      </c>
      <c r="H60" s="323">
        <v>1</v>
      </c>
      <c r="I60" s="151">
        <v>1.1479999999999999</v>
      </c>
      <c r="J60" s="32">
        <f t="shared" si="5"/>
        <v>12765000</v>
      </c>
      <c r="K60" s="39">
        <f t="shared" si="4"/>
        <v>12765000</v>
      </c>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c r="ID60" s="14"/>
      <c r="IE60" s="14"/>
      <c r="IF60" s="14"/>
      <c r="IG60" s="14"/>
      <c r="IH60" s="14"/>
      <c r="II60" s="14"/>
      <c r="IJ60" s="14"/>
      <c r="IK60" s="14"/>
      <c r="IL60" s="14"/>
      <c r="IM60" s="14"/>
      <c r="IN60" s="14"/>
      <c r="IO60" s="14"/>
      <c r="IP60" s="14"/>
      <c r="IQ60" s="14"/>
      <c r="IR60" s="14"/>
      <c r="IS60" s="14"/>
      <c r="IT60" s="14"/>
      <c r="IU60" s="14"/>
      <c r="IV60" s="14"/>
    </row>
    <row r="61" spans="1:256" s="290" customFormat="1" ht="42.75" customHeight="1" x14ac:dyDescent="0.3">
      <c r="A61" s="69"/>
      <c r="B61" s="8"/>
      <c r="C61" s="82" t="s">
        <v>1401</v>
      </c>
      <c r="D61" s="267" t="s">
        <v>207</v>
      </c>
      <c r="E61" s="71" t="s">
        <v>23</v>
      </c>
      <c r="F61" s="74">
        <f>2.9*1.7</f>
        <v>4.93</v>
      </c>
      <c r="G61" s="29">
        <v>566000</v>
      </c>
      <c r="H61" s="355">
        <v>1</v>
      </c>
      <c r="I61" s="354">
        <v>1.1479999999999999</v>
      </c>
      <c r="J61" s="32">
        <f t="shared" si="5"/>
        <v>3203000</v>
      </c>
      <c r="K61" s="39">
        <f t="shared" si="4"/>
        <v>3203000</v>
      </c>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c r="IE61" s="14"/>
      <c r="IF61" s="14"/>
      <c r="IG61" s="14"/>
      <c r="IH61" s="14"/>
      <c r="II61" s="14"/>
      <c r="IJ61" s="14"/>
      <c r="IK61" s="14"/>
      <c r="IL61" s="14"/>
      <c r="IM61" s="14"/>
      <c r="IN61" s="14"/>
      <c r="IO61" s="14"/>
      <c r="IP61" s="14"/>
      <c r="IQ61" s="14"/>
      <c r="IR61" s="14"/>
      <c r="IS61" s="14"/>
      <c r="IT61" s="14"/>
      <c r="IU61" s="14"/>
      <c r="IV61" s="14"/>
    </row>
    <row r="62" spans="1:256" s="290" customFormat="1" ht="42.75" customHeight="1" x14ac:dyDescent="0.3">
      <c r="A62" s="69"/>
      <c r="B62" s="8"/>
      <c r="C62" s="82" t="s">
        <v>1402</v>
      </c>
      <c r="D62" s="272" t="s">
        <v>33</v>
      </c>
      <c r="E62" s="71" t="s">
        <v>23</v>
      </c>
      <c r="F62" s="74">
        <f>10.5*1.2+12.9*1.2</f>
        <v>28.08</v>
      </c>
      <c r="G62" s="29">
        <v>453000</v>
      </c>
      <c r="H62" s="355">
        <v>1</v>
      </c>
      <c r="I62" s="354">
        <v>1.1479999999999999</v>
      </c>
      <c r="J62" s="32">
        <f t="shared" si="5"/>
        <v>14603000</v>
      </c>
      <c r="K62" s="39">
        <f t="shared" si="4"/>
        <v>14603000</v>
      </c>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c r="FW62" s="14"/>
      <c r="FX62" s="14"/>
      <c r="FY62" s="14"/>
      <c r="FZ62" s="14"/>
      <c r="GA62" s="14"/>
      <c r="GB62" s="14"/>
      <c r="GC62" s="14"/>
      <c r="GD62" s="14"/>
      <c r="GE62" s="14"/>
      <c r="GF62" s="14"/>
      <c r="GG62" s="14"/>
      <c r="GH62" s="14"/>
      <c r="GI62" s="14"/>
      <c r="GJ62" s="14"/>
      <c r="GK62" s="14"/>
      <c r="GL62" s="14"/>
      <c r="GM62" s="14"/>
      <c r="GN62" s="14"/>
      <c r="GO62" s="14"/>
      <c r="GP62" s="14"/>
      <c r="GQ62" s="14"/>
      <c r="GR62" s="14"/>
      <c r="GS62" s="14"/>
      <c r="GT62" s="14"/>
      <c r="GU62" s="14"/>
      <c r="GV62" s="14"/>
      <c r="GW62" s="14"/>
      <c r="GX62" s="14"/>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c r="ID62" s="14"/>
      <c r="IE62" s="14"/>
      <c r="IF62" s="14"/>
      <c r="IG62" s="14"/>
      <c r="IH62" s="14"/>
      <c r="II62" s="14"/>
      <c r="IJ62" s="14"/>
      <c r="IK62" s="14"/>
      <c r="IL62" s="14"/>
      <c r="IM62" s="14"/>
      <c r="IN62" s="14"/>
      <c r="IO62" s="14"/>
      <c r="IP62" s="14"/>
      <c r="IQ62" s="14"/>
      <c r="IR62" s="14"/>
      <c r="IS62" s="14"/>
      <c r="IT62" s="14"/>
      <c r="IU62" s="14"/>
      <c r="IV62" s="14"/>
    </row>
    <row r="63" spans="1:256" s="290" customFormat="1" ht="42.75" customHeight="1" x14ac:dyDescent="0.3">
      <c r="A63" s="69"/>
      <c r="B63" s="8"/>
      <c r="C63" s="82" t="s">
        <v>1403</v>
      </c>
      <c r="D63" s="267" t="s">
        <v>24</v>
      </c>
      <c r="E63" s="8" t="s">
        <v>25</v>
      </c>
      <c r="F63" s="74">
        <f>(0.16*0.16*1.2)*7</f>
        <v>0.21504000000000001</v>
      </c>
      <c r="G63" s="29">
        <v>2828000</v>
      </c>
      <c r="H63" s="355">
        <v>1</v>
      </c>
      <c r="I63" s="354">
        <v>1.1479999999999999</v>
      </c>
      <c r="J63" s="32">
        <f t="shared" si="5"/>
        <v>698000</v>
      </c>
      <c r="K63" s="39">
        <f t="shared" si="4"/>
        <v>698000</v>
      </c>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c r="GG63" s="14"/>
      <c r="GH63" s="14"/>
      <c r="GI63" s="14"/>
      <c r="GJ63" s="14"/>
      <c r="GK63" s="14"/>
      <c r="GL63" s="14"/>
      <c r="GM63" s="14"/>
      <c r="GN63" s="14"/>
      <c r="GO63" s="14"/>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c r="HQ63" s="14"/>
      <c r="HR63" s="14"/>
      <c r="HS63" s="14"/>
      <c r="HT63" s="14"/>
      <c r="HU63" s="14"/>
      <c r="HV63" s="14"/>
      <c r="HW63" s="14"/>
      <c r="HX63" s="14"/>
      <c r="HY63" s="14"/>
      <c r="HZ63" s="14"/>
      <c r="IA63" s="14"/>
      <c r="IB63" s="14"/>
      <c r="IC63" s="14"/>
      <c r="ID63" s="14"/>
      <c r="IE63" s="14"/>
      <c r="IF63" s="14"/>
      <c r="IG63" s="14"/>
      <c r="IH63" s="14"/>
      <c r="II63" s="14"/>
      <c r="IJ63" s="14"/>
      <c r="IK63" s="14"/>
      <c r="IL63" s="14"/>
      <c r="IM63" s="14"/>
      <c r="IN63" s="14"/>
      <c r="IO63" s="14"/>
      <c r="IP63" s="14"/>
      <c r="IQ63" s="14"/>
      <c r="IR63" s="14"/>
      <c r="IS63" s="14"/>
      <c r="IT63" s="14"/>
      <c r="IU63" s="14"/>
      <c r="IV63" s="14"/>
    </row>
    <row r="64" spans="1:256" s="290" customFormat="1" ht="42.75" customHeight="1" x14ac:dyDescent="0.3">
      <c r="A64" s="117"/>
      <c r="B64" s="118"/>
      <c r="C64" s="106" t="s">
        <v>1404</v>
      </c>
      <c r="D64" s="358" t="s">
        <v>38</v>
      </c>
      <c r="E64" s="359" t="s">
        <v>39</v>
      </c>
      <c r="F64" s="360">
        <v>2</v>
      </c>
      <c r="G64" s="361">
        <v>1358000</v>
      </c>
      <c r="H64" s="362">
        <v>1</v>
      </c>
      <c r="I64" s="363">
        <v>1.1479999999999999</v>
      </c>
      <c r="J64" s="364">
        <f t="shared" si="5"/>
        <v>3118000</v>
      </c>
      <c r="K64" s="39">
        <f t="shared" si="4"/>
        <v>3118000</v>
      </c>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row>
    <row r="65" spans="1:256" s="290" customFormat="1" ht="42.75" customHeight="1" x14ac:dyDescent="0.3">
      <c r="A65" s="69"/>
      <c r="B65" s="8"/>
      <c r="C65" s="82" t="s">
        <v>1405</v>
      </c>
      <c r="D65" s="267" t="s">
        <v>24</v>
      </c>
      <c r="E65" s="8" t="s">
        <v>25</v>
      </c>
      <c r="F65" s="74">
        <f>0.6*4.9*0.25+0.6*3.25*0.25</f>
        <v>1.2224999999999999</v>
      </c>
      <c r="G65" s="29">
        <v>2828000</v>
      </c>
      <c r="H65" s="355">
        <v>1</v>
      </c>
      <c r="I65" s="151">
        <v>1.1479999999999999</v>
      </c>
      <c r="J65" s="32">
        <f t="shared" si="5"/>
        <v>3969000</v>
      </c>
      <c r="K65" s="39">
        <f t="shared" si="4"/>
        <v>3969000</v>
      </c>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c r="IO65" s="14"/>
      <c r="IP65" s="14"/>
      <c r="IQ65" s="14"/>
      <c r="IR65" s="14"/>
      <c r="IS65" s="14"/>
      <c r="IT65" s="14"/>
      <c r="IU65" s="14"/>
      <c r="IV65" s="14"/>
    </row>
    <row r="66" spans="1:256" s="290" customFormat="1" ht="42.75" customHeight="1" x14ac:dyDescent="0.3">
      <c r="A66" s="69"/>
      <c r="B66" s="8"/>
      <c r="C66" s="82" t="s">
        <v>1406</v>
      </c>
      <c r="D66" s="270" t="s">
        <v>51</v>
      </c>
      <c r="E66" s="71" t="s">
        <v>23</v>
      </c>
      <c r="F66" s="74">
        <f>3.9*4.4</f>
        <v>17.16</v>
      </c>
      <c r="G66" s="29">
        <v>453000</v>
      </c>
      <c r="H66" s="323">
        <v>1</v>
      </c>
      <c r="I66" s="354">
        <v>1.1479999999999999</v>
      </c>
      <c r="J66" s="32">
        <f t="shared" si="5"/>
        <v>8924000</v>
      </c>
      <c r="K66" s="39">
        <f t="shared" si="4"/>
        <v>8924000</v>
      </c>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14"/>
      <c r="FS66" s="14"/>
      <c r="FT66" s="14"/>
      <c r="FU66" s="14"/>
      <c r="FV66" s="14"/>
      <c r="FW66" s="14"/>
      <c r="FX66" s="14"/>
      <c r="FY66" s="14"/>
      <c r="FZ66" s="14"/>
      <c r="GA66" s="14"/>
      <c r="GB66" s="14"/>
      <c r="GC66" s="14"/>
      <c r="GD66" s="14"/>
      <c r="GE66" s="14"/>
      <c r="GF66" s="14"/>
      <c r="GG66" s="14"/>
      <c r="GH66" s="14"/>
      <c r="GI66" s="14"/>
      <c r="GJ66" s="14"/>
      <c r="GK66" s="14"/>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4"/>
      <c r="IF66" s="14"/>
      <c r="IG66" s="14"/>
      <c r="IH66" s="14"/>
      <c r="II66" s="14"/>
      <c r="IJ66" s="14"/>
      <c r="IK66" s="14"/>
      <c r="IL66" s="14"/>
      <c r="IM66" s="14"/>
      <c r="IN66" s="14"/>
      <c r="IO66" s="14"/>
      <c r="IP66" s="14"/>
      <c r="IQ66" s="14"/>
      <c r="IR66" s="14"/>
      <c r="IS66" s="14"/>
      <c r="IT66" s="14"/>
      <c r="IU66" s="14"/>
      <c r="IV66" s="14"/>
    </row>
    <row r="67" spans="1:256" s="290" customFormat="1" ht="42.75" customHeight="1" x14ac:dyDescent="0.3">
      <c r="A67" s="69"/>
      <c r="B67" s="8"/>
      <c r="C67" s="82" t="s">
        <v>1407</v>
      </c>
      <c r="D67" s="271" t="s">
        <v>1408</v>
      </c>
      <c r="E67" s="63" t="s">
        <v>1409</v>
      </c>
      <c r="F67" s="157">
        <v>1</v>
      </c>
      <c r="G67" s="148">
        <v>308880</v>
      </c>
      <c r="H67" s="365">
        <v>1</v>
      </c>
      <c r="I67" s="366">
        <v>1</v>
      </c>
      <c r="J67" s="367">
        <f t="shared" si="5"/>
        <v>309000</v>
      </c>
      <c r="K67" s="39">
        <f t="shared" si="4"/>
        <v>309000</v>
      </c>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row>
    <row r="68" spans="1:256" s="290" customFormat="1" ht="42.75" customHeight="1" x14ac:dyDescent="0.3">
      <c r="A68" s="69"/>
      <c r="B68" s="8"/>
      <c r="C68" s="82" t="s">
        <v>1410</v>
      </c>
      <c r="D68" s="271" t="s">
        <v>1411</v>
      </c>
      <c r="E68" s="63" t="s">
        <v>35</v>
      </c>
      <c r="F68" s="98">
        <v>1</v>
      </c>
      <c r="G68" s="112">
        <v>1065100</v>
      </c>
      <c r="H68" s="365">
        <v>1</v>
      </c>
      <c r="I68" s="366">
        <v>1</v>
      </c>
      <c r="J68" s="367">
        <f t="shared" si="5"/>
        <v>1065000</v>
      </c>
      <c r="K68" s="39">
        <f t="shared" si="4"/>
        <v>1065000</v>
      </c>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row>
    <row r="69" spans="1:256" s="290" customFormat="1" ht="42.75" customHeight="1" x14ac:dyDescent="0.3">
      <c r="A69" s="117"/>
      <c r="B69" s="118"/>
      <c r="C69" s="106" t="s">
        <v>1412</v>
      </c>
      <c r="D69" s="368" t="s">
        <v>1413</v>
      </c>
      <c r="E69" s="105" t="s">
        <v>1409</v>
      </c>
      <c r="F69" s="114">
        <v>4</v>
      </c>
      <c r="G69" s="115">
        <v>62840</v>
      </c>
      <c r="H69" s="369">
        <v>1</v>
      </c>
      <c r="I69" s="370">
        <v>1</v>
      </c>
      <c r="J69" s="371">
        <f t="shared" si="5"/>
        <v>251000</v>
      </c>
      <c r="K69" s="39">
        <f t="shared" si="4"/>
        <v>251000</v>
      </c>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row>
    <row r="70" spans="1:256" s="290" customFormat="1" ht="42.75" customHeight="1" x14ac:dyDescent="0.3">
      <c r="A70" s="69"/>
      <c r="B70" s="8"/>
      <c r="C70" s="82" t="s">
        <v>1414</v>
      </c>
      <c r="D70" s="270" t="s">
        <v>29</v>
      </c>
      <c r="E70" s="96" t="s">
        <v>91</v>
      </c>
      <c r="F70" s="74">
        <f>13*0.15</f>
        <v>1.95</v>
      </c>
      <c r="G70" s="29">
        <v>792000</v>
      </c>
      <c r="H70" s="323">
        <v>1</v>
      </c>
      <c r="I70" s="151">
        <v>1.1479999999999999</v>
      </c>
      <c r="J70" s="32">
        <f t="shared" si="5"/>
        <v>1773000</v>
      </c>
      <c r="K70" s="39">
        <f t="shared" si="4"/>
        <v>1773000</v>
      </c>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row>
    <row r="71" spans="1:256" s="290" customFormat="1" ht="42.75" customHeight="1" x14ac:dyDescent="0.3">
      <c r="A71" s="104"/>
      <c r="B71" s="105"/>
      <c r="C71" s="113" t="s">
        <v>1415</v>
      </c>
      <c r="D71" s="276" t="s">
        <v>1416</v>
      </c>
      <c r="E71" s="59" t="s">
        <v>42</v>
      </c>
      <c r="F71" s="116">
        <v>6</v>
      </c>
      <c r="G71" s="115">
        <v>53260</v>
      </c>
      <c r="H71" s="372">
        <v>1</v>
      </c>
      <c r="I71" s="373">
        <v>1</v>
      </c>
      <c r="J71" s="367">
        <f t="shared" si="5"/>
        <v>320000</v>
      </c>
      <c r="K71" s="39">
        <f t="shared" si="4"/>
        <v>320000</v>
      </c>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row>
    <row r="72" spans="1:256" s="290" customFormat="1" ht="42.75" customHeight="1" x14ac:dyDescent="0.3">
      <c r="A72" s="69"/>
      <c r="B72" s="8"/>
      <c r="C72" s="113" t="s">
        <v>1417</v>
      </c>
      <c r="D72" s="272" t="s">
        <v>1416</v>
      </c>
      <c r="E72" s="27" t="s">
        <v>86</v>
      </c>
      <c r="F72" s="90">
        <v>32</v>
      </c>
      <c r="G72" s="11">
        <v>10650</v>
      </c>
      <c r="H72" s="355">
        <v>1</v>
      </c>
      <c r="I72" s="374">
        <v>1</v>
      </c>
      <c r="J72" s="32">
        <f t="shared" si="5"/>
        <v>341000</v>
      </c>
      <c r="K72" s="39">
        <f t="shared" si="4"/>
        <v>341000</v>
      </c>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row>
    <row r="73" spans="1:256" s="290" customFormat="1" ht="42.75" customHeight="1" x14ac:dyDescent="0.3">
      <c r="A73" s="69"/>
      <c r="B73" s="8"/>
      <c r="C73" s="113" t="s">
        <v>1418</v>
      </c>
      <c r="D73" s="271" t="s">
        <v>1419</v>
      </c>
      <c r="E73" s="63" t="s">
        <v>1409</v>
      </c>
      <c r="F73" s="157">
        <v>1</v>
      </c>
      <c r="G73" s="148">
        <v>7460</v>
      </c>
      <c r="H73" s="52">
        <v>1</v>
      </c>
      <c r="I73" s="366">
        <v>1</v>
      </c>
      <c r="J73" s="371">
        <f t="shared" si="5"/>
        <v>7000</v>
      </c>
      <c r="K73" s="39">
        <f t="shared" si="4"/>
        <v>7000</v>
      </c>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row>
    <row r="74" spans="1:256" s="290" customFormat="1" ht="42.75" customHeight="1" x14ac:dyDescent="0.3">
      <c r="A74" s="69"/>
      <c r="B74" s="8"/>
      <c r="C74" s="113" t="s">
        <v>1420</v>
      </c>
      <c r="D74" s="271" t="s">
        <v>1411</v>
      </c>
      <c r="E74" s="63" t="s">
        <v>1409</v>
      </c>
      <c r="F74" s="157">
        <v>1</v>
      </c>
      <c r="G74" s="148">
        <v>10650</v>
      </c>
      <c r="H74" s="52">
        <v>1</v>
      </c>
      <c r="I74" s="366">
        <v>1</v>
      </c>
      <c r="J74" s="371">
        <f t="shared" si="5"/>
        <v>11000</v>
      </c>
      <c r="K74" s="39">
        <f t="shared" si="4"/>
        <v>11000</v>
      </c>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row>
    <row r="75" spans="1:256" s="290" customFormat="1" ht="42.75" customHeight="1" x14ac:dyDescent="0.3">
      <c r="A75" s="69"/>
      <c r="B75" s="8"/>
      <c r="C75" s="113" t="s">
        <v>1421</v>
      </c>
      <c r="D75" s="271" t="s">
        <v>1411</v>
      </c>
      <c r="E75" s="63" t="s">
        <v>1409</v>
      </c>
      <c r="F75" s="157">
        <v>47</v>
      </c>
      <c r="G75" s="148">
        <v>3200</v>
      </c>
      <c r="H75" s="52">
        <v>1</v>
      </c>
      <c r="I75" s="366">
        <v>1</v>
      </c>
      <c r="J75" s="371">
        <f t="shared" si="5"/>
        <v>150000</v>
      </c>
      <c r="K75" s="39">
        <f t="shared" si="4"/>
        <v>150000</v>
      </c>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row>
    <row r="76" spans="1:256" s="290" customFormat="1" ht="42.75" customHeight="1" x14ac:dyDescent="0.3">
      <c r="A76" s="107"/>
      <c r="B76" s="84"/>
      <c r="C76" s="106" t="s">
        <v>1422</v>
      </c>
      <c r="D76" s="273" t="s">
        <v>44</v>
      </c>
      <c r="E76" s="375" t="s">
        <v>45</v>
      </c>
      <c r="F76" s="92">
        <v>10</v>
      </c>
      <c r="G76" s="65">
        <v>28000</v>
      </c>
      <c r="H76" s="376">
        <v>1</v>
      </c>
      <c r="I76" s="377">
        <v>1.1479999999999999</v>
      </c>
      <c r="J76" s="378">
        <f t="shared" si="5"/>
        <v>321000</v>
      </c>
      <c r="K76" s="39">
        <f t="shared" si="4"/>
        <v>321000</v>
      </c>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row>
    <row r="77" spans="1:256" s="290" customFormat="1" ht="62.25" customHeight="1" x14ac:dyDescent="0.3">
      <c r="A77" s="67"/>
      <c r="B77" s="68"/>
      <c r="C77" s="82" t="s">
        <v>1423</v>
      </c>
      <c r="D77" s="269" t="s">
        <v>1424</v>
      </c>
      <c r="E77" s="71" t="s">
        <v>23</v>
      </c>
      <c r="F77" s="74">
        <f>7.9*6.7</f>
        <v>52.930000000000007</v>
      </c>
      <c r="G77" s="11">
        <v>3371000</v>
      </c>
      <c r="H77" s="323">
        <v>1</v>
      </c>
      <c r="I77" s="354">
        <v>1.1479999999999999</v>
      </c>
      <c r="J77" s="32">
        <f t="shared" si="5"/>
        <v>204834000</v>
      </c>
      <c r="K77" s="39">
        <f t="shared" si="4"/>
        <v>204834000</v>
      </c>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row>
    <row r="78" spans="1:256" s="290" customFormat="1" ht="42.75" customHeight="1" x14ac:dyDescent="0.3">
      <c r="A78" s="69"/>
      <c r="B78" s="8"/>
      <c r="C78" s="82" t="s">
        <v>1425</v>
      </c>
      <c r="D78" s="270" t="s">
        <v>51</v>
      </c>
      <c r="E78" s="71" t="s">
        <v>23</v>
      </c>
      <c r="F78" s="74">
        <f>2.4*8</f>
        <v>19.2</v>
      </c>
      <c r="G78" s="29">
        <v>453000</v>
      </c>
      <c r="H78" s="323">
        <v>1</v>
      </c>
      <c r="I78" s="354">
        <v>1.1479999999999999</v>
      </c>
      <c r="J78" s="32">
        <f t="shared" si="5"/>
        <v>9985000</v>
      </c>
      <c r="K78" s="39">
        <f t="shared" si="4"/>
        <v>9985000</v>
      </c>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c r="HS78" s="14"/>
      <c r="HT78" s="14"/>
      <c r="HU78" s="14"/>
      <c r="HV78" s="14"/>
      <c r="HW78" s="14"/>
      <c r="HX78" s="14"/>
      <c r="HY78" s="14"/>
      <c r="HZ78" s="14"/>
      <c r="IA78" s="14"/>
      <c r="IB78" s="14"/>
      <c r="IC78" s="14"/>
      <c r="ID78" s="14"/>
      <c r="IE78" s="14"/>
      <c r="IF78" s="14"/>
      <c r="IG78" s="14"/>
      <c r="IH78" s="14"/>
      <c r="II78" s="14"/>
      <c r="IJ78" s="14"/>
      <c r="IK78" s="14"/>
      <c r="IL78" s="14"/>
      <c r="IM78" s="14"/>
      <c r="IN78" s="14"/>
      <c r="IO78" s="14"/>
      <c r="IP78" s="14"/>
      <c r="IQ78" s="14"/>
      <c r="IR78" s="14"/>
      <c r="IS78" s="14"/>
      <c r="IT78" s="14"/>
      <c r="IU78" s="14"/>
      <c r="IV78" s="14"/>
    </row>
    <row r="79" spans="1:256" s="290" customFormat="1" ht="42.75" customHeight="1" x14ac:dyDescent="0.3">
      <c r="A79" s="69"/>
      <c r="B79" s="8"/>
      <c r="C79" s="82" t="s">
        <v>1426</v>
      </c>
      <c r="D79" s="270" t="s">
        <v>66</v>
      </c>
      <c r="E79" s="71" t="s">
        <v>23</v>
      </c>
      <c r="F79" s="74">
        <f>(3.1*1)*2</f>
        <v>6.2</v>
      </c>
      <c r="G79" s="29">
        <v>339000</v>
      </c>
      <c r="H79" s="323">
        <v>1</v>
      </c>
      <c r="I79" s="354">
        <v>1.1479999999999999</v>
      </c>
      <c r="J79" s="32">
        <f t="shared" si="5"/>
        <v>2413000</v>
      </c>
      <c r="K79" s="39">
        <f t="shared" si="4"/>
        <v>2413000</v>
      </c>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c r="HS79" s="14"/>
      <c r="HT79" s="14"/>
      <c r="HU79" s="14"/>
      <c r="HV79" s="14"/>
      <c r="HW79" s="14"/>
      <c r="HX79" s="14"/>
      <c r="HY79" s="14"/>
      <c r="HZ79" s="14"/>
      <c r="IA79" s="14"/>
      <c r="IB79" s="14"/>
      <c r="IC79" s="14"/>
      <c r="ID79" s="14"/>
      <c r="IE79" s="14"/>
      <c r="IF79" s="14"/>
      <c r="IG79" s="14"/>
      <c r="IH79" s="14"/>
      <c r="II79" s="14"/>
      <c r="IJ79" s="14"/>
      <c r="IK79" s="14"/>
      <c r="IL79" s="14"/>
      <c r="IM79" s="14"/>
      <c r="IN79" s="14"/>
      <c r="IO79" s="14"/>
      <c r="IP79" s="14"/>
      <c r="IQ79" s="14"/>
      <c r="IR79" s="14"/>
      <c r="IS79" s="14"/>
      <c r="IT79" s="14"/>
      <c r="IU79" s="14"/>
      <c r="IV79" s="14"/>
    </row>
    <row r="80" spans="1:256" s="290" customFormat="1" ht="42.75" customHeight="1" x14ac:dyDescent="0.3">
      <c r="A80" s="69"/>
      <c r="B80" s="8"/>
      <c r="C80" s="82" t="s">
        <v>1427</v>
      </c>
      <c r="D80" s="270" t="s">
        <v>68</v>
      </c>
      <c r="E80" s="96" t="s">
        <v>91</v>
      </c>
      <c r="F80" s="74">
        <f>3.4*5.6</f>
        <v>19.04</v>
      </c>
      <c r="G80" s="46">
        <v>213000</v>
      </c>
      <c r="H80" s="323">
        <v>1</v>
      </c>
      <c r="I80" s="151">
        <v>1.1479999999999999</v>
      </c>
      <c r="J80" s="32">
        <f t="shared" si="5"/>
        <v>4656000</v>
      </c>
      <c r="K80" s="39">
        <f t="shared" si="4"/>
        <v>4656000</v>
      </c>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c r="HS80" s="14"/>
      <c r="HT80" s="14"/>
      <c r="HU80" s="14"/>
      <c r="HV80" s="14"/>
      <c r="HW80" s="14"/>
      <c r="HX80" s="14"/>
      <c r="HY80" s="14"/>
      <c r="HZ80" s="14"/>
      <c r="IA80" s="14"/>
      <c r="IB80" s="14"/>
      <c r="IC80" s="14"/>
      <c r="ID80" s="14"/>
      <c r="IE80" s="14"/>
      <c r="IF80" s="14"/>
      <c r="IG80" s="14"/>
      <c r="IH80" s="14"/>
      <c r="II80" s="14"/>
      <c r="IJ80" s="14"/>
      <c r="IK80" s="14"/>
      <c r="IL80" s="14"/>
      <c r="IM80" s="14"/>
      <c r="IN80" s="14"/>
      <c r="IO80" s="14"/>
      <c r="IP80" s="14"/>
      <c r="IQ80" s="14"/>
      <c r="IR80" s="14"/>
      <c r="IS80" s="14"/>
      <c r="IT80" s="14"/>
      <c r="IU80" s="14"/>
      <c r="IV80" s="14"/>
    </row>
    <row r="81" spans="1:256" s="290" customFormat="1" ht="42.75" customHeight="1" x14ac:dyDescent="0.3">
      <c r="A81" s="69"/>
      <c r="B81" s="8"/>
      <c r="C81" s="82" t="s">
        <v>1428</v>
      </c>
      <c r="D81" s="271" t="s">
        <v>32</v>
      </c>
      <c r="E81" s="71" t="s">
        <v>23</v>
      </c>
      <c r="F81" s="74">
        <f>4.9*11.5</f>
        <v>56.35</v>
      </c>
      <c r="G81" s="29">
        <v>215000</v>
      </c>
      <c r="H81" s="357">
        <v>0.8</v>
      </c>
      <c r="I81" s="151">
        <v>1.1479999999999999</v>
      </c>
      <c r="J81" s="32">
        <f t="shared" si="5"/>
        <v>11127000</v>
      </c>
      <c r="K81" s="39">
        <f t="shared" si="4"/>
        <v>11127000</v>
      </c>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row>
    <row r="82" spans="1:256" s="290" customFormat="1" ht="42.75" customHeight="1" x14ac:dyDescent="0.3">
      <c r="A82" s="69"/>
      <c r="B82" s="8"/>
      <c r="C82" s="82" t="s">
        <v>1429</v>
      </c>
      <c r="D82" s="271" t="s">
        <v>32</v>
      </c>
      <c r="E82" s="71" t="s">
        <v>23</v>
      </c>
      <c r="F82" s="74">
        <f>2.2*11</f>
        <v>24.200000000000003</v>
      </c>
      <c r="G82" s="29">
        <v>215000</v>
      </c>
      <c r="H82" s="357">
        <v>1</v>
      </c>
      <c r="I82" s="151">
        <v>1.1479999999999999</v>
      </c>
      <c r="J82" s="32">
        <f t="shared" si="5"/>
        <v>5973000</v>
      </c>
      <c r="K82" s="39">
        <f t="shared" si="4"/>
        <v>5973000</v>
      </c>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c r="HS82" s="14"/>
      <c r="HT82" s="14"/>
      <c r="HU82" s="14"/>
      <c r="HV82" s="14"/>
      <c r="HW82" s="14"/>
      <c r="HX82" s="14"/>
      <c r="HY82" s="14"/>
      <c r="HZ82" s="14"/>
      <c r="IA82" s="14"/>
      <c r="IB82" s="14"/>
      <c r="IC82" s="14"/>
      <c r="ID82" s="14"/>
      <c r="IE82" s="14"/>
      <c r="IF82" s="14"/>
      <c r="IG82" s="14"/>
      <c r="IH82" s="14"/>
      <c r="II82" s="14"/>
      <c r="IJ82" s="14"/>
      <c r="IK82" s="14"/>
      <c r="IL82" s="14"/>
      <c r="IM82" s="14"/>
      <c r="IN82" s="14"/>
      <c r="IO82" s="14"/>
      <c r="IP82" s="14"/>
      <c r="IQ82" s="14"/>
      <c r="IR82" s="14"/>
      <c r="IS82" s="14"/>
      <c r="IT82" s="14"/>
      <c r="IU82" s="14"/>
      <c r="IV82" s="14"/>
    </row>
    <row r="83" spans="1:256" s="290" customFormat="1" ht="42.75" customHeight="1" x14ac:dyDescent="0.3">
      <c r="A83" s="69"/>
      <c r="B83" s="8"/>
      <c r="C83" s="82" t="s">
        <v>1430</v>
      </c>
      <c r="D83" s="272" t="s">
        <v>33</v>
      </c>
      <c r="E83" s="71" t="s">
        <v>23</v>
      </c>
      <c r="F83" s="74">
        <f>2.5*1.2</f>
        <v>3</v>
      </c>
      <c r="G83" s="29">
        <v>453000</v>
      </c>
      <c r="H83" s="355">
        <v>1</v>
      </c>
      <c r="I83" s="354">
        <v>1.1479999999999999</v>
      </c>
      <c r="J83" s="32">
        <f t="shared" si="5"/>
        <v>1560000</v>
      </c>
      <c r="K83" s="39">
        <f t="shared" si="4"/>
        <v>1560000</v>
      </c>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c r="HS83" s="14"/>
      <c r="HT83" s="14"/>
      <c r="HU83" s="14"/>
      <c r="HV83" s="14"/>
      <c r="HW83" s="14"/>
      <c r="HX83" s="14"/>
      <c r="HY83" s="14"/>
      <c r="HZ83" s="14"/>
      <c r="IA83" s="14"/>
      <c r="IB83" s="14"/>
      <c r="IC83" s="14"/>
      <c r="ID83" s="14"/>
      <c r="IE83" s="14"/>
      <c r="IF83" s="14"/>
      <c r="IG83" s="14"/>
      <c r="IH83" s="14"/>
      <c r="II83" s="14"/>
      <c r="IJ83" s="14"/>
      <c r="IK83" s="14"/>
      <c r="IL83" s="14"/>
      <c r="IM83" s="14"/>
      <c r="IN83" s="14"/>
      <c r="IO83" s="14"/>
      <c r="IP83" s="14"/>
      <c r="IQ83" s="14"/>
      <c r="IR83" s="14"/>
      <c r="IS83" s="14"/>
      <c r="IT83" s="14"/>
      <c r="IU83" s="14"/>
      <c r="IV83" s="14"/>
    </row>
    <row r="84" spans="1:256" s="290" customFormat="1" ht="42.75" customHeight="1" x14ac:dyDescent="0.3">
      <c r="A84" s="69"/>
      <c r="B84" s="8"/>
      <c r="C84" s="82" t="s">
        <v>1431</v>
      </c>
      <c r="D84" s="267" t="s">
        <v>89</v>
      </c>
      <c r="E84" s="71" t="s">
        <v>23</v>
      </c>
      <c r="F84" s="74">
        <f>2.5*1.2</f>
        <v>3</v>
      </c>
      <c r="G84" s="29">
        <v>11000</v>
      </c>
      <c r="H84" s="323">
        <v>1</v>
      </c>
      <c r="I84" s="354">
        <v>1.1479999999999999</v>
      </c>
      <c r="J84" s="32">
        <f t="shared" si="5"/>
        <v>38000</v>
      </c>
      <c r="K84" s="39">
        <f t="shared" si="4"/>
        <v>38000</v>
      </c>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c r="IA84" s="14"/>
      <c r="IB84" s="14"/>
      <c r="IC84" s="14"/>
      <c r="ID84" s="14"/>
      <c r="IE84" s="14"/>
      <c r="IF84" s="14"/>
      <c r="IG84" s="14"/>
      <c r="IH84" s="14"/>
      <c r="II84" s="14"/>
      <c r="IJ84" s="14"/>
      <c r="IK84" s="14"/>
      <c r="IL84" s="14"/>
      <c r="IM84" s="14"/>
      <c r="IN84" s="14"/>
      <c r="IO84" s="14"/>
      <c r="IP84" s="14"/>
      <c r="IQ84" s="14"/>
      <c r="IR84" s="14"/>
      <c r="IS84" s="14"/>
      <c r="IT84" s="14"/>
      <c r="IU84" s="14"/>
      <c r="IV84" s="14"/>
    </row>
    <row r="85" spans="1:256" s="290" customFormat="1" ht="42.75" customHeight="1" x14ac:dyDescent="0.3">
      <c r="A85" s="69"/>
      <c r="B85" s="8"/>
      <c r="C85" s="82" t="s">
        <v>1432</v>
      </c>
      <c r="D85" s="270" t="s">
        <v>55</v>
      </c>
      <c r="E85" s="96" t="s">
        <v>91</v>
      </c>
      <c r="F85" s="74">
        <f>1*1.5</f>
        <v>1.5</v>
      </c>
      <c r="G85" s="29">
        <v>905000</v>
      </c>
      <c r="H85" s="323">
        <v>1</v>
      </c>
      <c r="I85" s="151">
        <v>1.1479999999999999</v>
      </c>
      <c r="J85" s="32">
        <f t="shared" si="5"/>
        <v>1558000</v>
      </c>
      <c r="K85" s="39">
        <f t="shared" si="4"/>
        <v>1558000</v>
      </c>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c r="HS85" s="14"/>
      <c r="HT85" s="14"/>
      <c r="HU85" s="14"/>
      <c r="HV85" s="14"/>
      <c r="HW85" s="14"/>
      <c r="HX85" s="14"/>
      <c r="HY85" s="14"/>
      <c r="HZ85" s="14"/>
      <c r="IA85" s="14"/>
      <c r="IB85" s="14"/>
      <c r="IC85" s="14"/>
      <c r="ID85" s="14"/>
      <c r="IE85" s="14"/>
      <c r="IF85" s="14"/>
      <c r="IG85" s="14"/>
      <c r="IH85" s="14"/>
      <c r="II85" s="14"/>
      <c r="IJ85" s="14"/>
      <c r="IK85" s="14"/>
      <c r="IL85" s="14"/>
      <c r="IM85" s="14"/>
      <c r="IN85" s="14"/>
      <c r="IO85" s="14"/>
      <c r="IP85" s="14"/>
      <c r="IQ85" s="14"/>
      <c r="IR85" s="14"/>
      <c r="IS85" s="14"/>
      <c r="IT85" s="14"/>
      <c r="IU85" s="14"/>
      <c r="IV85" s="14"/>
    </row>
    <row r="86" spans="1:256" s="290" customFormat="1" ht="42.75" customHeight="1" x14ac:dyDescent="0.3">
      <c r="A86" s="69"/>
      <c r="B86" s="8"/>
      <c r="C86" s="82" t="s">
        <v>1433</v>
      </c>
      <c r="D86" s="271" t="s">
        <v>1434</v>
      </c>
      <c r="E86" s="63" t="s">
        <v>1409</v>
      </c>
      <c r="F86" s="157">
        <v>1</v>
      </c>
      <c r="G86" s="148">
        <v>40910</v>
      </c>
      <c r="H86" s="365">
        <v>1</v>
      </c>
      <c r="I86" s="379">
        <v>1</v>
      </c>
      <c r="J86" s="367">
        <f t="shared" si="5"/>
        <v>41000</v>
      </c>
      <c r="K86" s="39">
        <f t="shared" si="4"/>
        <v>41000</v>
      </c>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c r="IG86" s="14"/>
      <c r="IH86" s="14"/>
      <c r="II86" s="14"/>
      <c r="IJ86" s="14"/>
      <c r="IK86" s="14"/>
      <c r="IL86" s="14"/>
      <c r="IM86" s="14"/>
      <c r="IN86" s="14"/>
      <c r="IO86" s="14"/>
      <c r="IP86" s="14"/>
      <c r="IQ86" s="14"/>
      <c r="IR86" s="14"/>
      <c r="IS86" s="14"/>
      <c r="IT86" s="14"/>
      <c r="IU86" s="14"/>
      <c r="IV86" s="14"/>
    </row>
    <row r="87" spans="1:256" s="290" customFormat="1" ht="42.75" customHeight="1" x14ac:dyDescent="0.3">
      <c r="A87" s="117"/>
      <c r="B87" s="118"/>
      <c r="C87" s="106" t="s">
        <v>1435</v>
      </c>
      <c r="D87" s="380" t="s">
        <v>1436</v>
      </c>
      <c r="E87" s="381" t="s">
        <v>35</v>
      </c>
      <c r="F87" s="147">
        <v>2</v>
      </c>
      <c r="G87" s="382">
        <v>26730</v>
      </c>
      <c r="H87" s="383">
        <v>1</v>
      </c>
      <c r="I87" s="384">
        <v>1</v>
      </c>
      <c r="J87" s="367">
        <f t="shared" si="5"/>
        <v>53000</v>
      </c>
      <c r="K87" s="39">
        <f t="shared" si="4"/>
        <v>53000</v>
      </c>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c r="HS87" s="14"/>
      <c r="HT87" s="14"/>
      <c r="HU87" s="14"/>
      <c r="HV87" s="14"/>
      <c r="HW87" s="14"/>
      <c r="HX87" s="14"/>
      <c r="HY87" s="14"/>
      <c r="HZ87" s="14"/>
      <c r="IA87" s="14"/>
      <c r="IB87" s="14"/>
      <c r="IC87" s="14"/>
      <c r="ID87" s="14"/>
      <c r="IE87" s="14"/>
      <c r="IF87" s="14"/>
      <c r="IG87" s="14"/>
      <c r="IH87" s="14"/>
      <c r="II87" s="14"/>
      <c r="IJ87" s="14"/>
      <c r="IK87" s="14"/>
      <c r="IL87" s="14"/>
      <c r="IM87" s="14"/>
      <c r="IN87" s="14"/>
      <c r="IO87" s="14"/>
      <c r="IP87" s="14"/>
      <c r="IQ87" s="14"/>
      <c r="IR87" s="14"/>
      <c r="IS87" s="14"/>
      <c r="IT87" s="14"/>
      <c r="IU87" s="14"/>
      <c r="IV87" s="14"/>
    </row>
    <row r="88" spans="1:256" s="290" customFormat="1" ht="42.75" customHeight="1" thickBot="1" x14ac:dyDescent="0.35">
      <c r="A88" s="385"/>
      <c r="B88" s="386"/>
      <c r="C88" s="387" t="s">
        <v>1437</v>
      </c>
      <c r="D88" s="388" t="s">
        <v>24</v>
      </c>
      <c r="E88" s="386" t="s">
        <v>25</v>
      </c>
      <c r="F88" s="389">
        <f>0.1*0.1*1.8</f>
        <v>1.8000000000000006E-2</v>
      </c>
      <c r="G88" s="390">
        <v>2828000</v>
      </c>
      <c r="H88" s="391">
        <v>1</v>
      </c>
      <c r="I88" s="392">
        <v>1.1479999999999999</v>
      </c>
      <c r="J88" s="32">
        <f t="shared" si="5"/>
        <v>58000</v>
      </c>
      <c r="K88" s="39">
        <f t="shared" si="4"/>
        <v>58000</v>
      </c>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c r="HS88" s="14"/>
      <c r="HT88" s="14"/>
      <c r="HU88" s="14"/>
      <c r="HV88" s="14"/>
      <c r="HW88" s="14"/>
      <c r="HX88" s="14"/>
      <c r="HY88" s="14"/>
      <c r="HZ88" s="14"/>
      <c r="IA88" s="14"/>
      <c r="IB88" s="14"/>
      <c r="IC88" s="14"/>
      <c r="ID88" s="14"/>
      <c r="IE88" s="14"/>
      <c r="IF88" s="14"/>
      <c r="IG88" s="14"/>
      <c r="IH88" s="14"/>
      <c r="II88" s="14"/>
      <c r="IJ88" s="14"/>
      <c r="IK88" s="14"/>
      <c r="IL88" s="14"/>
      <c r="IM88" s="14"/>
      <c r="IN88" s="14"/>
      <c r="IO88" s="14"/>
      <c r="IP88" s="14"/>
      <c r="IQ88" s="14"/>
      <c r="IR88" s="14"/>
      <c r="IS88" s="14"/>
      <c r="IT88" s="14"/>
      <c r="IU88" s="14"/>
      <c r="IV88" s="14"/>
    </row>
    <row r="89" spans="1:256" s="290" customFormat="1" ht="48" customHeight="1" thickTop="1" x14ac:dyDescent="0.3">
      <c r="A89" s="67">
        <v>3</v>
      </c>
      <c r="B89" s="68" t="s">
        <v>1438</v>
      </c>
      <c r="C89" s="436" t="s">
        <v>1439</v>
      </c>
      <c r="D89" s="436"/>
      <c r="E89" s="436"/>
      <c r="F89" s="436"/>
      <c r="G89" s="436"/>
      <c r="H89" s="436"/>
      <c r="I89" s="436"/>
      <c r="J89" s="349">
        <f>SUM(J90:J107)</f>
        <v>710313000</v>
      </c>
      <c r="K89" s="39">
        <f t="shared" si="4"/>
        <v>0</v>
      </c>
      <c r="L89" s="261">
        <f t="shared" ref="L89:L131" si="6">J89-K89</f>
        <v>710313000</v>
      </c>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c r="HS89" s="14"/>
      <c r="HT89" s="14"/>
      <c r="HU89" s="14"/>
      <c r="HV89" s="14"/>
      <c r="HW89" s="14"/>
      <c r="HX89" s="14"/>
      <c r="HY89" s="14"/>
      <c r="HZ89" s="14"/>
      <c r="IA89" s="14"/>
      <c r="IB89" s="14"/>
      <c r="IC89" s="14"/>
      <c r="ID89" s="14"/>
      <c r="IE89" s="14"/>
      <c r="IF89" s="14"/>
      <c r="IG89" s="14"/>
      <c r="IH89" s="14"/>
      <c r="II89" s="14"/>
      <c r="IJ89" s="14"/>
      <c r="IK89" s="14"/>
      <c r="IL89" s="14"/>
      <c r="IM89" s="14"/>
      <c r="IN89" s="14"/>
      <c r="IO89" s="14"/>
      <c r="IP89" s="14"/>
      <c r="IQ89" s="14"/>
      <c r="IR89" s="14"/>
      <c r="IS89" s="14"/>
      <c r="IT89" s="14"/>
      <c r="IU89" s="14"/>
      <c r="IV89" s="14"/>
    </row>
    <row r="90" spans="1:256" s="397" customFormat="1" ht="52.5" customHeight="1" x14ac:dyDescent="0.3">
      <c r="A90" s="393"/>
      <c r="B90" s="304"/>
      <c r="C90" s="128" t="s">
        <v>1440</v>
      </c>
      <c r="D90" s="277" t="s">
        <v>112</v>
      </c>
      <c r="E90" s="182" t="s">
        <v>828</v>
      </c>
      <c r="F90" s="309">
        <v>38.299999999999997</v>
      </c>
      <c r="G90" s="350">
        <v>11100000</v>
      </c>
      <c r="H90" s="351">
        <v>1</v>
      </c>
      <c r="I90" s="394">
        <v>1.4</v>
      </c>
      <c r="J90" s="130">
        <f>ROUND(F90*G90*H90*I90,-3)</f>
        <v>595182000</v>
      </c>
      <c r="K90" s="39">
        <f t="shared" ref="K90:K109" si="7">ROUND(F90*G90*H90*I90,-3)</f>
        <v>595182000</v>
      </c>
      <c r="L90" s="395">
        <f t="shared" si="6"/>
        <v>0</v>
      </c>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396"/>
      <c r="AL90" s="396"/>
      <c r="AM90" s="396"/>
      <c r="AN90" s="396"/>
      <c r="AO90" s="396"/>
      <c r="AP90" s="396"/>
      <c r="AQ90" s="396"/>
      <c r="AR90" s="396"/>
      <c r="AS90" s="396"/>
      <c r="AT90" s="396"/>
      <c r="AU90" s="396"/>
      <c r="AV90" s="396"/>
      <c r="AW90" s="396"/>
      <c r="AX90" s="396"/>
      <c r="AY90" s="396"/>
      <c r="AZ90" s="396"/>
      <c r="BA90" s="396"/>
      <c r="BB90" s="396"/>
      <c r="BC90" s="396"/>
      <c r="BD90" s="396"/>
      <c r="BE90" s="396"/>
      <c r="BF90" s="396"/>
      <c r="BG90" s="396"/>
      <c r="BH90" s="396"/>
      <c r="BI90" s="396"/>
      <c r="BJ90" s="396"/>
      <c r="BK90" s="396"/>
      <c r="BL90" s="396"/>
      <c r="BM90" s="396"/>
      <c r="BN90" s="396"/>
      <c r="BO90" s="396"/>
      <c r="BP90" s="396"/>
      <c r="BQ90" s="396"/>
      <c r="BR90" s="396"/>
      <c r="BS90" s="396"/>
      <c r="BT90" s="396"/>
      <c r="BU90" s="396"/>
      <c r="BV90" s="396"/>
      <c r="BW90" s="396"/>
      <c r="BX90" s="396"/>
      <c r="BY90" s="396"/>
      <c r="BZ90" s="396"/>
      <c r="CA90" s="396"/>
      <c r="CB90" s="396"/>
      <c r="CC90" s="396"/>
      <c r="CD90" s="396"/>
      <c r="CE90" s="396"/>
      <c r="CF90" s="396"/>
      <c r="CG90" s="396"/>
      <c r="CH90" s="396"/>
      <c r="CI90" s="396"/>
      <c r="CJ90" s="396"/>
      <c r="CK90" s="396"/>
      <c r="CL90" s="396"/>
      <c r="CM90" s="396"/>
      <c r="CN90" s="396"/>
      <c r="CO90" s="396"/>
      <c r="CP90" s="396"/>
      <c r="CQ90" s="396"/>
      <c r="CR90" s="396"/>
      <c r="CS90" s="396"/>
      <c r="CT90" s="396"/>
      <c r="CU90" s="396"/>
      <c r="CV90" s="396"/>
      <c r="CW90" s="396"/>
      <c r="CX90" s="396"/>
      <c r="CY90" s="396"/>
      <c r="CZ90" s="396"/>
      <c r="DA90" s="396"/>
      <c r="DB90" s="396"/>
      <c r="DC90" s="396"/>
      <c r="DD90" s="396"/>
      <c r="DE90" s="396"/>
      <c r="DF90" s="396"/>
      <c r="DG90" s="396"/>
      <c r="DH90" s="396"/>
      <c r="DI90" s="396"/>
      <c r="DJ90" s="396"/>
      <c r="DK90" s="396"/>
      <c r="DL90" s="396"/>
      <c r="DM90" s="396"/>
      <c r="DN90" s="396"/>
      <c r="DO90" s="396"/>
      <c r="DP90" s="396"/>
      <c r="DQ90" s="396"/>
      <c r="DR90" s="396"/>
      <c r="DS90" s="396"/>
      <c r="DT90" s="396"/>
      <c r="DU90" s="396"/>
      <c r="DV90" s="396"/>
      <c r="DW90" s="396"/>
      <c r="DX90" s="396"/>
      <c r="DY90" s="396"/>
      <c r="DZ90" s="396"/>
      <c r="EA90" s="396"/>
      <c r="EB90" s="396"/>
      <c r="EC90" s="396"/>
      <c r="ED90" s="396"/>
      <c r="EE90" s="396"/>
      <c r="EF90" s="396"/>
      <c r="EG90" s="396"/>
      <c r="EH90" s="396"/>
      <c r="EI90" s="396"/>
      <c r="EJ90" s="396"/>
      <c r="EK90" s="396"/>
      <c r="EL90" s="396"/>
      <c r="EM90" s="396"/>
      <c r="EN90" s="396"/>
      <c r="EO90" s="396"/>
      <c r="EP90" s="396"/>
      <c r="EQ90" s="396"/>
      <c r="ER90" s="396"/>
      <c r="ES90" s="396"/>
      <c r="ET90" s="396"/>
      <c r="EU90" s="396"/>
      <c r="EV90" s="396"/>
      <c r="EW90" s="396"/>
      <c r="EX90" s="396"/>
      <c r="EY90" s="396"/>
      <c r="EZ90" s="396"/>
      <c r="FA90" s="396"/>
      <c r="FB90" s="396"/>
      <c r="FC90" s="396"/>
      <c r="FD90" s="396"/>
      <c r="FE90" s="396"/>
      <c r="FF90" s="396"/>
      <c r="FG90" s="396"/>
      <c r="FH90" s="396"/>
      <c r="FI90" s="396"/>
      <c r="FJ90" s="396"/>
      <c r="FK90" s="396"/>
      <c r="FL90" s="396"/>
      <c r="FM90" s="396"/>
      <c r="FN90" s="396"/>
      <c r="FO90" s="396"/>
      <c r="FP90" s="396"/>
      <c r="FQ90" s="396"/>
      <c r="FR90" s="396"/>
      <c r="FS90" s="396"/>
      <c r="FT90" s="396"/>
      <c r="FU90" s="396"/>
      <c r="FV90" s="396"/>
      <c r="FW90" s="396"/>
      <c r="FX90" s="396"/>
      <c r="FY90" s="396"/>
      <c r="FZ90" s="396"/>
      <c r="GA90" s="396"/>
      <c r="GB90" s="396"/>
      <c r="GC90" s="396"/>
      <c r="GD90" s="396"/>
      <c r="GE90" s="396"/>
      <c r="GF90" s="396"/>
      <c r="GG90" s="396"/>
      <c r="GH90" s="396"/>
      <c r="GI90" s="396"/>
      <c r="GJ90" s="396"/>
      <c r="GK90" s="396"/>
      <c r="GL90" s="396"/>
      <c r="GM90" s="396"/>
      <c r="GN90" s="396"/>
      <c r="GO90" s="396"/>
      <c r="GP90" s="396"/>
      <c r="GQ90" s="396"/>
      <c r="GR90" s="396"/>
      <c r="GS90" s="396"/>
      <c r="GT90" s="396"/>
      <c r="GU90" s="396"/>
      <c r="GV90" s="396"/>
      <c r="GW90" s="396"/>
      <c r="GX90" s="396"/>
      <c r="GY90" s="396"/>
      <c r="GZ90" s="396"/>
      <c r="HA90" s="396"/>
      <c r="HB90" s="396"/>
      <c r="HC90" s="396"/>
      <c r="HD90" s="396"/>
      <c r="HE90" s="396"/>
      <c r="HF90" s="396"/>
      <c r="HG90" s="396"/>
      <c r="HH90" s="396"/>
      <c r="HI90" s="396"/>
      <c r="HJ90" s="396"/>
      <c r="HK90" s="396"/>
      <c r="HL90" s="396"/>
      <c r="HM90" s="396"/>
      <c r="HN90" s="396"/>
      <c r="HO90" s="396"/>
      <c r="HP90" s="396"/>
      <c r="HQ90" s="396"/>
      <c r="HR90" s="396"/>
      <c r="HS90" s="396"/>
      <c r="HT90" s="396"/>
      <c r="HU90" s="396"/>
      <c r="HV90" s="396"/>
      <c r="HW90" s="396"/>
      <c r="HX90" s="396"/>
      <c r="HY90" s="396"/>
      <c r="HZ90" s="396"/>
      <c r="IA90" s="396"/>
      <c r="IB90" s="396"/>
      <c r="IC90" s="396"/>
      <c r="ID90" s="396"/>
      <c r="IE90" s="396"/>
      <c r="IF90" s="396"/>
      <c r="IG90" s="396"/>
      <c r="IH90" s="396"/>
      <c r="II90" s="396"/>
      <c r="IJ90" s="396"/>
      <c r="IK90" s="396"/>
      <c r="IL90" s="396"/>
      <c r="IM90" s="396"/>
      <c r="IN90" s="396"/>
      <c r="IO90" s="396"/>
      <c r="IP90" s="396"/>
      <c r="IQ90" s="396"/>
      <c r="IR90" s="396"/>
      <c r="IS90" s="396"/>
      <c r="IT90" s="396"/>
      <c r="IU90" s="396"/>
      <c r="IV90" s="396"/>
    </row>
    <row r="91" spans="1:256" s="397" customFormat="1" ht="80.25" customHeight="1" x14ac:dyDescent="0.3">
      <c r="A91" s="393"/>
      <c r="B91" s="304"/>
      <c r="C91" s="128" t="s">
        <v>1062</v>
      </c>
      <c r="D91" s="277" t="s">
        <v>112</v>
      </c>
      <c r="E91" s="182" t="s">
        <v>828</v>
      </c>
      <c r="F91" s="309">
        <v>7.1</v>
      </c>
      <c r="G91" s="453" t="s">
        <v>1441</v>
      </c>
      <c r="H91" s="453"/>
      <c r="I91" s="453"/>
      <c r="J91" s="398"/>
      <c r="K91" s="39"/>
      <c r="L91" s="395">
        <f t="shared" si="6"/>
        <v>0</v>
      </c>
      <c r="M91" s="396"/>
      <c r="N91" s="396"/>
      <c r="O91" s="396"/>
      <c r="P91" s="396"/>
      <c r="Q91" s="396"/>
      <c r="R91" s="396"/>
      <c r="S91" s="396"/>
      <c r="T91" s="396"/>
      <c r="U91" s="396"/>
      <c r="V91" s="396"/>
      <c r="W91" s="396"/>
      <c r="X91" s="396"/>
      <c r="Y91" s="396"/>
      <c r="Z91" s="396"/>
      <c r="AA91" s="396"/>
      <c r="AB91" s="396"/>
      <c r="AC91" s="396"/>
      <c r="AD91" s="396"/>
      <c r="AE91" s="396"/>
      <c r="AF91" s="396"/>
      <c r="AG91" s="396"/>
      <c r="AH91" s="396"/>
      <c r="AI91" s="396"/>
      <c r="AJ91" s="396"/>
      <c r="AK91" s="396"/>
      <c r="AL91" s="396"/>
      <c r="AM91" s="396"/>
      <c r="AN91" s="396"/>
      <c r="AO91" s="396"/>
      <c r="AP91" s="396"/>
      <c r="AQ91" s="396"/>
      <c r="AR91" s="396"/>
      <c r="AS91" s="396"/>
      <c r="AT91" s="396"/>
      <c r="AU91" s="396"/>
      <c r="AV91" s="396"/>
      <c r="AW91" s="396"/>
      <c r="AX91" s="396"/>
      <c r="AY91" s="396"/>
      <c r="AZ91" s="396"/>
      <c r="BA91" s="396"/>
      <c r="BB91" s="396"/>
      <c r="BC91" s="396"/>
      <c r="BD91" s="396"/>
      <c r="BE91" s="396"/>
      <c r="BF91" s="396"/>
      <c r="BG91" s="396"/>
      <c r="BH91" s="396"/>
      <c r="BI91" s="396"/>
      <c r="BJ91" s="396"/>
      <c r="BK91" s="396"/>
      <c r="BL91" s="396"/>
      <c r="BM91" s="396"/>
      <c r="BN91" s="396"/>
      <c r="BO91" s="396"/>
      <c r="BP91" s="396"/>
      <c r="BQ91" s="396"/>
      <c r="BR91" s="396"/>
      <c r="BS91" s="396"/>
      <c r="BT91" s="396"/>
      <c r="BU91" s="396"/>
      <c r="BV91" s="396"/>
      <c r="BW91" s="396"/>
      <c r="BX91" s="396"/>
      <c r="BY91" s="396"/>
      <c r="BZ91" s="396"/>
      <c r="CA91" s="396"/>
      <c r="CB91" s="396"/>
      <c r="CC91" s="396"/>
      <c r="CD91" s="396"/>
      <c r="CE91" s="396"/>
      <c r="CF91" s="396"/>
      <c r="CG91" s="396"/>
      <c r="CH91" s="396"/>
      <c r="CI91" s="396"/>
      <c r="CJ91" s="396"/>
      <c r="CK91" s="396"/>
      <c r="CL91" s="396"/>
      <c r="CM91" s="396"/>
      <c r="CN91" s="396"/>
      <c r="CO91" s="396"/>
      <c r="CP91" s="396"/>
      <c r="CQ91" s="396"/>
      <c r="CR91" s="396"/>
      <c r="CS91" s="396"/>
      <c r="CT91" s="396"/>
      <c r="CU91" s="396"/>
      <c r="CV91" s="396"/>
      <c r="CW91" s="396"/>
      <c r="CX91" s="396"/>
      <c r="CY91" s="396"/>
      <c r="CZ91" s="396"/>
      <c r="DA91" s="396"/>
      <c r="DB91" s="396"/>
      <c r="DC91" s="396"/>
      <c r="DD91" s="396"/>
      <c r="DE91" s="396"/>
      <c r="DF91" s="396"/>
      <c r="DG91" s="396"/>
      <c r="DH91" s="396"/>
      <c r="DI91" s="396"/>
      <c r="DJ91" s="396"/>
      <c r="DK91" s="396"/>
      <c r="DL91" s="396"/>
      <c r="DM91" s="396"/>
      <c r="DN91" s="396"/>
      <c r="DO91" s="396"/>
      <c r="DP91" s="396"/>
      <c r="DQ91" s="396"/>
      <c r="DR91" s="396"/>
      <c r="DS91" s="396"/>
      <c r="DT91" s="396"/>
      <c r="DU91" s="396"/>
      <c r="DV91" s="396"/>
      <c r="DW91" s="396"/>
      <c r="DX91" s="396"/>
      <c r="DY91" s="396"/>
      <c r="DZ91" s="396"/>
      <c r="EA91" s="396"/>
      <c r="EB91" s="396"/>
      <c r="EC91" s="396"/>
      <c r="ED91" s="396"/>
      <c r="EE91" s="396"/>
      <c r="EF91" s="396"/>
      <c r="EG91" s="396"/>
      <c r="EH91" s="396"/>
      <c r="EI91" s="396"/>
      <c r="EJ91" s="396"/>
      <c r="EK91" s="396"/>
      <c r="EL91" s="396"/>
      <c r="EM91" s="396"/>
      <c r="EN91" s="396"/>
      <c r="EO91" s="396"/>
      <c r="EP91" s="396"/>
      <c r="EQ91" s="396"/>
      <c r="ER91" s="396"/>
      <c r="ES91" s="396"/>
      <c r="ET91" s="396"/>
      <c r="EU91" s="396"/>
      <c r="EV91" s="396"/>
      <c r="EW91" s="396"/>
      <c r="EX91" s="396"/>
      <c r="EY91" s="396"/>
      <c r="EZ91" s="396"/>
      <c r="FA91" s="396"/>
      <c r="FB91" s="396"/>
      <c r="FC91" s="396"/>
      <c r="FD91" s="396"/>
      <c r="FE91" s="396"/>
      <c r="FF91" s="396"/>
      <c r="FG91" s="396"/>
      <c r="FH91" s="396"/>
      <c r="FI91" s="396"/>
      <c r="FJ91" s="396"/>
      <c r="FK91" s="396"/>
      <c r="FL91" s="396"/>
      <c r="FM91" s="396"/>
      <c r="FN91" s="396"/>
      <c r="FO91" s="396"/>
      <c r="FP91" s="396"/>
      <c r="FQ91" s="396"/>
      <c r="FR91" s="396"/>
      <c r="FS91" s="396"/>
      <c r="FT91" s="396"/>
      <c r="FU91" s="396"/>
      <c r="FV91" s="396"/>
      <c r="FW91" s="396"/>
      <c r="FX91" s="396"/>
      <c r="FY91" s="396"/>
      <c r="FZ91" s="396"/>
      <c r="GA91" s="396"/>
      <c r="GB91" s="396"/>
      <c r="GC91" s="396"/>
      <c r="GD91" s="396"/>
      <c r="GE91" s="396"/>
      <c r="GF91" s="396"/>
      <c r="GG91" s="396"/>
      <c r="GH91" s="396"/>
      <c r="GI91" s="396"/>
      <c r="GJ91" s="396"/>
      <c r="GK91" s="396"/>
      <c r="GL91" s="396"/>
      <c r="GM91" s="396"/>
      <c r="GN91" s="396"/>
      <c r="GO91" s="396"/>
      <c r="GP91" s="396"/>
      <c r="GQ91" s="396"/>
      <c r="GR91" s="396"/>
      <c r="GS91" s="396"/>
      <c r="GT91" s="396"/>
      <c r="GU91" s="396"/>
      <c r="GV91" s="396"/>
      <c r="GW91" s="396"/>
      <c r="GX91" s="396"/>
      <c r="GY91" s="396"/>
      <c r="GZ91" s="396"/>
      <c r="HA91" s="396"/>
      <c r="HB91" s="396"/>
      <c r="HC91" s="396"/>
      <c r="HD91" s="396"/>
      <c r="HE91" s="396"/>
      <c r="HF91" s="396"/>
      <c r="HG91" s="396"/>
      <c r="HH91" s="396"/>
      <c r="HI91" s="396"/>
      <c r="HJ91" s="396"/>
      <c r="HK91" s="396"/>
      <c r="HL91" s="396"/>
      <c r="HM91" s="396"/>
      <c r="HN91" s="396"/>
      <c r="HO91" s="396"/>
      <c r="HP91" s="396"/>
      <c r="HQ91" s="396"/>
      <c r="HR91" s="396"/>
      <c r="HS91" s="396"/>
      <c r="HT91" s="396"/>
      <c r="HU91" s="396"/>
      <c r="HV91" s="396"/>
      <c r="HW91" s="396"/>
      <c r="HX91" s="396"/>
      <c r="HY91" s="396"/>
      <c r="HZ91" s="396"/>
      <c r="IA91" s="396"/>
      <c r="IB91" s="396"/>
      <c r="IC91" s="396"/>
      <c r="ID91" s="396"/>
      <c r="IE91" s="396"/>
      <c r="IF91" s="396"/>
      <c r="IG91" s="396"/>
      <c r="IH91" s="396"/>
      <c r="II91" s="396"/>
      <c r="IJ91" s="396"/>
      <c r="IK91" s="396"/>
      <c r="IL91" s="396"/>
      <c r="IM91" s="396"/>
      <c r="IN91" s="396"/>
      <c r="IO91" s="396"/>
      <c r="IP91" s="396"/>
      <c r="IQ91" s="396"/>
      <c r="IR91" s="396"/>
      <c r="IS91" s="396"/>
      <c r="IT91" s="396"/>
      <c r="IU91" s="396"/>
      <c r="IV91" s="396"/>
    </row>
    <row r="92" spans="1:256" s="290" customFormat="1" ht="75" x14ac:dyDescent="0.3">
      <c r="A92" s="69"/>
      <c r="B92" s="8"/>
      <c r="C92" s="82" t="s">
        <v>1442</v>
      </c>
      <c r="D92" s="269" t="s">
        <v>1443</v>
      </c>
      <c r="E92" s="71" t="s">
        <v>23</v>
      </c>
      <c r="F92" s="74">
        <f>4.7*3</f>
        <v>14.100000000000001</v>
      </c>
      <c r="G92" s="11">
        <v>3224000</v>
      </c>
      <c r="H92" s="355">
        <v>1</v>
      </c>
      <c r="I92" s="354">
        <v>1.1479999999999999</v>
      </c>
      <c r="J92" s="32">
        <f t="shared" ref="J92:J107" si="8">ROUND(F92*G92*H92*I92,-3)</f>
        <v>52186000</v>
      </c>
      <c r="K92" s="39">
        <f t="shared" si="7"/>
        <v>52186000</v>
      </c>
      <c r="L92" s="261">
        <f t="shared" si="6"/>
        <v>0</v>
      </c>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c r="HT92" s="14"/>
      <c r="HU92" s="14"/>
      <c r="HV92" s="14"/>
      <c r="HW92" s="14"/>
      <c r="HX92" s="14"/>
      <c r="HY92" s="14"/>
      <c r="HZ92" s="14"/>
      <c r="IA92" s="14"/>
      <c r="IB92" s="14"/>
      <c r="IC92" s="14"/>
      <c r="ID92" s="14"/>
      <c r="IE92" s="14"/>
      <c r="IF92" s="14"/>
      <c r="IG92" s="14"/>
      <c r="IH92" s="14"/>
      <c r="II92" s="14"/>
      <c r="IJ92" s="14"/>
      <c r="IK92" s="14"/>
      <c r="IL92" s="14"/>
      <c r="IM92" s="14"/>
      <c r="IN92" s="14"/>
      <c r="IO92" s="14"/>
      <c r="IP92" s="14"/>
      <c r="IQ92" s="14"/>
      <c r="IR92" s="14"/>
      <c r="IS92" s="14"/>
      <c r="IT92" s="14"/>
      <c r="IU92" s="14"/>
      <c r="IV92" s="14"/>
    </row>
    <row r="93" spans="1:256" s="290" customFormat="1" ht="40.5" customHeight="1" x14ac:dyDescent="0.3">
      <c r="A93" s="69"/>
      <c r="B93" s="8"/>
      <c r="C93" s="82" t="s">
        <v>1444</v>
      </c>
      <c r="D93" s="270" t="s">
        <v>562</v>
      </c>
      <c r="E93" s="71" t="s">
        <v>23</v>
      </c>
      <c r="F93" s="74">
        <f>5.5*6.3</f>
        <v>34.65</v>
      </c>
      <c r="G93" s="29">
        <v>577000</v>
      </c>
      <c r="H93" s="355">
        <v>1</v>
      </c>
      <c r="I93" s="354">
        <v>1.1479999999999999</v>
      </c>
      <c r="J93" s="32">
        <f t="shared" si="8"/>
        <v>22952000</v>
      </c>
      <c r="K93" s="39">
        <f t="shared" si="7"/>
        <v>22952000</v>
      </c>
      <c r="L93" s="261">
        <f t="shared" si="6"/>
        <v>0</v>
      </c>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c r="HT93" s="14"/>
      <c r="HU93" s="14"/>
      <c r="HV93" s="14"/>
      <c r="HW93" s="14"/>
      <c r="HX93" s="14"/>
      <c r="HY93" s="14"/>
      <c r="HZ93" s="14"/>
      <c r="IA93" s="14"/>
      <c r="IB93" s="14"/>
      <c r="IC93" s="14"/>
      <c r="ID93" s="14"/>
      <c r="IE93" s="14"/>
      <c r="IF93" s="14"/>
      <c r="IG93" s="14"/>
      <c r="IH93" s="14"/>
      <c r="II93" s="14"/>
      <c r="IJ93" s="14"/>
      <c r="IK93" s="14"/>
      <c r="IL93" s="14"/>
      <c r="IM93" s="14"/>
      <c r="IN93" s="14"/>
      <c r="IO93" s="14"/>
      <c r="IP93" s="14"/>
      <c r="IQ93" s="14"/>
      <c r="IR93" s="14"/>
      <c r="IS93" s="14"/>
      <c r="IT93" s="14"/>
      <c r="IU93" s="14"/>
      <c r="IV93" s="14"/>
    </row>
    <row r="94" spans="1:256" s="290" customFormat="1" ht="40.5" customHeight="1" x14ac:dyDescent="0.3">
      <c r="A94" s="69"/>
      <c r="B94" s="8"/>
      <c r="C94" s="82" t="s">
        <v>1445</v>
      </c>
      <c r="D94" s="270" t="s">
        <v>101</v>
      </c>
      <c r="E94" s="71" t="s">
        <v>23</v>
      </c>
      <c r="F94" s="74">
        <f>5*6.3</f>
        <v>31.5</v>
      </c>
      <c r="G94" s="29">
        <v>339000</v>
      </c>
      <c r="H94" s="355">
        <v>1</v>
      </c>
      <c r="I94" s="354">
        <v>1.1479999999999999</v>
      </c>
      <c r="J94" s="32">
        <f t="shared" si="8"/>
        <v>12259000</v>
      </c>
      <c r="K94" s="39">
        <f t="shared" si="7"/>
        <v>12259000</v>
      </c>
      <c r="L94" s="261">
        <f t="shared" si="6"/>
        <v>0</v>
      </c>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c r="HT94" s="14"/>
      <c r="HU94" s="14"/>
      <c r="HV94" s="14"/>
      <c r="HW94" s="14"/>
      <c r="HX94" s="14"/>
      <c r="HY94" s="14"/>
      <c r="HZ94" s="14"/>
      <c r="IA94" s="14"/>
      <c r="IB94" s="14"/>
      <c r="IC94" s="14"/>
      <c r="ID94" s="14"/>
      <c r="IE94" s="14"/>
      <c r="IF94" s="14"/>
      <c r="IG94" s="14"/>
      <c r="IH94" s="14"/>
      <c r="II94" s="14"/>
      <c r="IJ94" s="14"/>
      <c r="IK94" s="14"/>
      <c r="IL94" s="14"/>
      <c r="IM94" s="14"/>
      <c r="IN94" s="14"/>
      <c r="IO94" s="14"/>
      <c r="IP94" s="14"/>
      <c r="IQ94" s="14"/>
      <c r="IR94" s="14"/>
      <c r="IS94" s="14"/>
      <c r="IT94" s="14"/>
      <c r="IU94" s="14"/>
      <c r="IV94" s="14"/>
    </row>
    <row r="95" spans="1:256" s="290" customFormat="1" ht="40.5" customHeight="1" x14ac:dyDescent="0.3">
      <c r="A95" s="69"/>
      <c r="B95" s="8"/>
      <c r="C95" s="82" t="s">
        <v>1446</v>
      </c>
      <c r="D95" s="271" t="s">
        <v>32</v>
      </c>
      <c r="E95" s="71" t="s">
        <v>23</v>
      </c>
      <c r="F95" s="74">
        <f>5*6.3</f>
        <v>31.5</v>
      </c>
      <c r="G95" s="29">
        <v>215000</v>
      </c>
      <c r="H95" s="355">
        <v>0.8</v>
      </c>
      <c r="I95" s="151">
        <v>1.1479999999999999</v>
      </c>
      <c r="J95" s="32">
        <f t="shared" si="8"/>
        <v>6220000</v>
      </c>
      <c r="K95" s="39">
        <f t="shared" si="7"/>
        <v>6220000</v>
      </c>
      <c r="L95" s="261">
        <f t="shared" si="6"/>
        <v>0</v>
      </c>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c r="HT95" s="14"/>
      <c r="HU95" s="14"/>
      <c r="HV95" s="14"/>
      <c r="HW95" s="14"/>
      <c r="HX95" s="14"/>
      <c r="HY95" s="14"/>
      <c r="HZ95" s="14"/>
      <c r="IA95" s="14"/>
      <c r="IB95" s="14"/>
      <c r="IC95" s="14"/>
      <c r="ID95" s="14"/>
      <c r="IE95" s="14"/>
      <c r="IF95" s="14"/>
      <c r="IG95" s="14"/>
      <c r="IH95" s="14"/>
      <c r="II95" s="14"/>
      <c r="IJ95" s="14"/>
      <c r="IK95" s="14"/>
      <c r="IL95" s="14"/>
      <c r="IM95" s="14"/>
      <c r="IN95" s="14"/>
      <c r="IO95" s="14"/>
      <c r="IP95" s="14"/>
      <c r="IQ95" s="14"/>
      <c r="IR95" s="14"/>
      <c r="IS95" s="14"/>
      <c r="IT95" s="14"/>
      <c r="IU95" s="14"/>
      <c r="IV95" s="14"/>
    </row>
    <row r="96" spans="1:256" s="290" customFormat="1" ht="40.5" customHeight="1" x14ac:dyDescent="0.3">
      <c r="A96" s="69"/>
      <c r="B96" s="8"/>
      <c r="C96" s="82" t="s">
        <v>1447</v>
      </c>
      <c r="D96" s="270" t="s">
        <v>31</v>
      </c>
      <c r="E96" s="71" t="s">
        <v>23</v>
      </c>
      <c r="F96" s="74">
        <f>1.2*3</f>
        <v>3.5999999999999996</v>
      </c>
      <c r="G96" s="29">
        <v>339000</v>
      </c>
      <c r="H96" s="355">
        <v>1</v>
      </c>
      <c r="I96" s="151">
        <v>1.1479999999999999</v>
      </c>
      <c r="J96" s="32">
        <f t="shared" si="8"/>
        <v>1401000</v>
      </c>
      <c r="K96" s="39">
        <f t="shared" si="7"/>
        <v>1401000</v>
      </c>
      <c r="L96" s="261">
        <f t="shared" si="6"/>
        <v>0</v>
      </c>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c r="HT96" s="14"/>
      <c r="HU96" s="14"/>
      <c r="HV96" s="14"/>
      <c r="HW96" s="14"/>
      <c r="HX96" s="14"/>
      <c r="HY96" s="14"/>
      <c r="HZ96" s="14"/>
      <c r="IA96" s="14"/>
      <c r="IB96" s="14"/>
      <c r="IC96" s="14"/>
      <c r="ID96" s="14"/>
      <c r="IE96" s="14"/>
      <c r="IF96" s="14"/>
      <c r="IG96" s="14"/>
      <c r="IH96" s="14"/>
      <c r="II96" s="14"/>
      <c r="IJ96" s="14"/>
      <c r="IK96" s="14"/>
      <c r="IL96" s="14"/>
      <c r="IM96" s="14"/>
      <c r="IN96" s="14"/>
      <c r="IO96" s="14"/>
      <c r="IP96" s="14"/>
      <c r="IQ96" s="14"/>
      <c r="IR96" s="14"/>
      <c r="IS96" s="14"/>
      <c r="IT96" s="14"/>
      <c r="IU96" s="14"/>
      <c r="IV96" s="14"/>
    </row>
    <row r="97" spans="1:256" s="290" customFormat="1" ht="40.5" customHeight="1" x14ac:dyDescent="0.3">
      <c r="A97" s="69"/>
      <c r="B97" s="8"/>
      <c r="C97" s="82" t="s">
        <v>1448</v>
      </c>
      <c r="D97" s="267" t="s">
        <v>24</v>
      </c>
      <c r="E97" s="8" t="s">
        <v>25</v>
      </c>
      <c r="F97" s="74">
        <f>0.6*1.4</f>
        <v>0.84</v>
      </c>
      <c r="G97" s="29">
        <v>2828000</v>
      </c>
      <c r="H97" s="355">
        <v>1</v>
      </c>
      <c r="I97" s="151">
        <v>1.1479999999999999</v>
      </c>
      <c r="J97" s="32">
        <f t="shared" si="8"/>
        <v>2727000</v>
      </c>
      <c r="K97" s="39">
        <f t="shared" si="7"/>
        <v>2727000</v>
      </c>
      <c r="L97" s="261">
        <f t="shared" si="6"/>
        <v>0</v>
      </c>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c r="HT97" s="14"/>
      <c r="HU97" s="14"/>
      <c r="HV97" s="14"/>
      <c r="HW97" s="14"/>
      <c r="HX97" s="14"/>
      <c r="HY97" s="14"/>
      <c r="HZ97" s="14"/>
      <c r="IA97" s="14"/>
      <c r="IB97" s="14"/>
      <c r="IC97" s="14"/>
      <c r="ID97" s="14"/>
      <c r="IE97" s="14"/>
      <c r="IF97" s="14"/>
      <c r="IG97" s="14"/>
      <c r="IH97" s="14"/>
      <c r="II97" s="14"/>
      <c r="IJ97" s="14"/>
      <c r="IK97" s="14"/>
      <c r="IL97" s="14"/>
      <c r="IM97" s="14"/>
      <c r="IN97" s="14"/>
      <c r="IO97" s="14"/>
      <c r="IP97" s="14"/>
      <c r="IQ97" s="14"/>
      <c r="IR97" s="14"/>
      <c r="IS97" s="14"/>
      <c r="IT97" s="14"/>
      <c r="IU97" s="14"/>
      <c r="IV97" s="14"/>
    </row>
    <row r="98" spans="1:256" s="290" customFormat="1" ht="40.5" customHeight="1" x14ac:dyDescent="0.3">
      <c r="A98" s="69"/>
      <c r="B98" s="8"/>
      <c r="C98" s="82" t="s">
        <v>1449</v>
      </c>
      <c r="D98" s="270" t="s">
        <v>66</v>
      </c>
      <c r="E98" s="71" t="s">
        <v>23</v>
      </c>
      <c r="F98" s="74">
        <f>8.4*0.1+2*4+1.3*2.4+2.65*0.6</f>
        <v>13.55</v>
      </c>
      <c r="G98" s="29">
        <v>339000</v>
      </c>
      <c r="H98" s="355">
        <v>1</v>
      </c>
      <c r="I98" s="354">
        <v>1.1479999999999999</v>
      </c>
      <c r="J98" s="32">
        <f t="shared" si="8"/>
        <v>5273000</v>
      </c>
      <c r="K98" s="39">
        <f t="shared" si="7"/>
        <v>5273000</v>
      </c>
      <c r="L98" s="261">
        <f t="shared" si="6"/>
        <v>0</v>
      </c>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c r="HT98" s="14"/>
      <c r="HU98" s="14"/>
      <c r="HV98" s="14"/>
      <c r="HW98" s="14"/>
      <c r="HX98" s="14"/>
      <c r="HY98" s="14"/>
      <c r="HZ98" s="14"/>
      <c r="IA98" s="14"/>
      <c r="IB98" s="14"/>
      <c r="IC98" s="14"/>
      <c r="ID98" s="14"/>
      <c r="IE98" s="14"/>
      <c r="IF98" s="14"/>
      <c r="IG98" s="14"/>
      <c r="IH98" s="14"/>
      <c r="II98" s="14"/>
      <c r="IJ98" s="14"/>
      <c r="IK98" s="14"/>
      <c r="IL98" s="14"/>
      <c r="IM98" s="14"/>
      <c r="IN98" s="14"/>
      <c r="IO98" s="14"/>
      <c r="IP98" s="14"/>
      <c r="IQ98" s="14"/>
      <c r="IR98" s="14"/>
      <c r="IS98" s="14"/>
      <c r="IT98" s="14"/>
      <c r="IU98" s="14"/>
      <c r="IV98" s="14"/>
    </row>
    <row r="99" spans="1:256" s="290" customFormat="1" ht="40.5" customHeight="1" x14ac:dyDescent="0.3">
      <c r="A99" s="69"/>
      <c r="B99" s="8"/>
      <c r="C99" s="82" t="s">
        <v>1450</v>
      </c>
      <c r="D99" s="270" t="s">
        <v>28</v>
      </c>
      <c r="E99" s="71" t="s">
        <v>23</v>
      </c>
      <c r="F99" s="74">
        <f>4*0.5</f>
        <v>2</v>
      </c>
      <c r="G99" s="11">
        <v>396000</v>
      </c>
      <c r="H99" s="355">
        <v>1</v>
      </c>
      <c r="I99" s="151">
        <v>1.1479999999999999</v>
      </c>
      <c r="J99" s="32">
        <f t="shared" si="8"/>
        <v>909000</v>
      </c>
      <c r="K99" s="39">
        <f t="shared" si="7"/>
        <v>909000</v>
      </c>
      <c r="L99" s="261">
        <f t="shared" si="6"/>
        <v>0</v>
      </c>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c r="HT99" s="14"/>
      <c r="HU99" s="14"/>
      <c r="HV99" s="14"/>
      <c r="HW99" s="14"/>
      <c r="HX99" s="14"/>
      <c r="HY99" s="14"/>
      <c r="HZ99" s="14"/>
      <c r="IA99" s="14"/>
      <c r="IB99" s="14"/>
      <c r="IC99" s="14"/>
      <c r="ID99" s="14"/>
      <c r="IE99" s="14"/>
      <c r="IF99" s="14"/>
      <c r="IG99" s="14"/>
      <c r="IH99" s="14"/>
      <c r="II99" s="14"/>
      <c r="IJ99" s="14"/>
      <c r="IK99" s="14"/>
      <c r="IL99" s="14"/>
      <c r="IM99" s="14"/>
      <c r="IN99" s="14"/>
      <c r="IO99" s="14"/>
      <c r="IP99" s="14"/>
      <c r="IQ99" s="14"/>
      <c r="IR99" s="14"/>
      <c r="IS99" s="14"/>
      <c r="IT99" s="14"/>
      <c r="IU99" s="14"/>
      <c r="IV99" s="14"/>
    </row>
    <row r="100" spans="1:256" s="290" customFormat="1" ht="40.5" customHeight="1" x14ac:dyDescent="0.3">
      <c r="A100" s="69"/>
      <c r="B100" s="8"/>
      <c r="C100" s="82" t="s">
        <v>1451</v>
      </c>
      <c r="D100" s="270" t="s">
        <v>68</v>
      </c>
      <c r="E100" s="96" t="s">
        <v>91</v>
      </c>
      <c r="F100" s="74">
        <f>4.5*2.8</f>
        <v>12.6</v>
      </c>
      <c r="G100" s="46">
        <v>213000</v>
      </c>
      <c r="H100" s="355">
        <v>1</v>
      </c>
      <c r="I100" s="151">
        <v>1.1479999999999999</v>
      </c>
      <c r="J100" s="32">
        <f t="shared" si="8"/>
        <v>3081000</v>
      </c>
      <c r="K100" s="39">
        <f t="shared" si="7"/>
        <v>3081000</v>
      </c>
      <c r="L100" s="261">
        <f t="shared" si="6"/>
        <v>0</v>
      </c>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c r="HT100" s="14"/>
      <c r="HU100" s="14"/>
      <c r="HV100" s="14"/>
      <c r="HW100" s="14"/>
      <c r="HX100" s="14"/>
      <c r="HY100" s="14"/>
      <c r="HZ100" s="14"/>
      <c r="IA100" s="14"/>
      <c r="IB100" s="14"/>
      <c r="IC100" s="14"/>
      <c r="ID100" s="14"/>
      <c r="IE100" s="14"/>
      <c r="IF100" s="14"/>
      <c r="IG100" s="14"/>
      <c r="IH100" s="14"/>
      <c r="II100" s="14"/>
      <c r="IJ100" s="14"/>
      <c r="IK100" s="14"/>
      <c r="IL100" s="14"/>
      <c r="IM100" s="14"/>
      <c r="IN100" s="14"/>
      <c r="IO100" s="14"/>
      <c r="IP100" s="14"/>
      <c r="IQ100" s="14"/>
      <c r="IR100" s="14"/>
      <c r="IS100" s="14"/>
      <c r="IT100" s="14"/>
      <c r="IU100" s="14"/>
      <c r="IV100" s="14"/>
    </row>
    <row r="101" spans="1:256" s="290" customFormat="1" ht="40.5" customHeight="1" x14ac:dyDescent="0.3">
      <c r="A101" s="69"/>
      <c r="B101" s="8"/>
      <c r="C101" s="82" t="s">
        <v>1452</v>
      </c>
      <c r="D101" s="267" t="s">
        <v>95</v>
      </c>
      <c r="E101" s="71" t="s">
        <v>25</v>
      </c>
      <c r="F101" s="74">
        <f>4*0.35*0.15</f>
        <v>0.21</v>
      </c>
      <c r="G101" s="11">
        <v>1000000</v>
      </c>
      <c r="H101" s="355">
        <v>1</v>
      </c>
      <c r="I101" s="151">
        <v>1.1479999999999999</v>
      </c>
      <c r="J101" s="32">
        <f t="shared" si="8"/>
        <v>241000</v>
      </c>
      <c r="K101" s="39">
        <f t="shared" si="7"/>
        <v>241000</v>
      </c>
      <c r="L101" s="261">
        <f t="shared" si="6"/>
        <v>0</v>
      </c>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c r="HT101" s="14"/>
      <c r="HU101" s="14"/>
      <c r="HV101" s="14"/>
      <c r="HW101" s="14"/>
      <c r="HX101" s="14"/>
      <c r="HY101" s="14"/>
      <c r="HZ101" s="14"/>
      <c r="IA101" s="14"/>
      <c r="IB101" s="14"/>
      <c r="IC101" s="14"/>
      <c r="ID101" s="14"/>
      <c r="IE101" s="14"/>
      <c r="IF101" s="14"/>
      <c r="IG101" s="14"/>
      <c r="IH101" s="14"/>
      <c r="II101" s="14"/>
      <c r="IJ101" s="14"/>
      <c r="IK101" s="14"/>
      <c r="IL101" s="14"/>
      <c r="IM101" s="14"/>
      <c r="IN101" s="14"/>
      <c r="IO101" s="14"/>
      <c r="IP101" s="14"/>
      <c r="IQ101" s="14"/>
      <c r="IR101" s="14"/>
      <c r="IS101" s="14"/>
      <c r="IT101" s="14"/>
      <c r="IU101" s="14"/>
      <c r="IV101" s="14"/>
    </row>
    <row r="102" spans="1:256" s="290" customFormat="1" ht="25.5" x14ac:dyDescent="0.3">
      <c r="A102" s="69"/>
      <c r="B102" s="8"/>
      <c r="C102" s="82" t="s">
        <v>1453</v>
      </c>
      <c r="D102" s="270" t="s">
        <v>51</v>
      </c>
      <c r="E102" s="71" t="s">
        <v>23</v>
      </c>
      <c r="F102" s="74">
        <f>1.2*3</f>
        <v>3.5999999999999996</v>
      </c>
      <c r="G102" s="29">
        <v>453000</v>
      </c>
      <c r="H102" s="355">
        <v>1</v>
      </c>
      <c r="I102" s="354">
        <v>1.1479999999999999</v>
      </c>
      <c r="J102" s="32">
        <f t="shared" si="8"/>
        <v>1872000</v>
      </c>
      <c r="K102" s="39">
        <f t="shared" si="7"/>
        <v>1872000</v>
      </c>
      <c r="L102" s="261">
        <f t="shared" si="6"/>
        <v>0</v>
      </c>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4"/>
      <c r="GC102" s="14"/>
      <c r="GD102" s="14"/>
      <c r="GE102" s="14"/>
      <c r="GF102" s="14"/>
      <c r="GG102" s="14"/>
      <c r="GH102" s="14"/>
      <c r="GI102" s="14"/>
      <c r="GJ102" s="14"/>
      <c r="GK102" s="14"/>
      <c r="GL102" s="14"/>
      <c r="GM102" s="14"/>
      <c r="GN102" s="14"/>
      <c r="GO102" s="14"/>
      <c r="GP102" s="14"/>
      <c r="GQ102" s="14"/>
      <c r="GR102" s="14"/>
      <c r="GS102" s="14"/>
      <c r="GT102" s="14"/>
      <c r="GU102" s="14"/>
      <c r="GV102" s="14"/>
      <c r="GW102" s="14"/>
      <c r="GX102" s="14"/>
      <c r="GY102" s="14"/>
      <c r="GZ102" s="14"/>
      <c r="HA102" s="14"/>
      <c r="HB102" s="14"/>
      <c r="HC102" s="14"/>
      <c r="HD102" s="14"/>
      <c r="HE102" s="14"/>
      <c r="HF102" s="14"/>
      <c r="HG102" s="14"/>
      <c r="HH102" s="14"/>
      <c r="HI102" s="14"/>
      <c r="HJ102" s="14"/>
      <c r="HK102" s="14"/>
      <c r="HL102" s="14"/>
      <c r="HM102" s="14"/>
      <c r="HN102" s="14"/>
      <c r="HO102" s="14"/>
      <c r="HP102" s="14"/>
      <c r="HQ102" s="14"/>
      <c r="HR102" s="14"/>
      <c r="HS102" s="14"/>
      <c r="HT102" s="14"/>
      <c r="HU102" s="14"/>
      <c r="HV102" s="14"/>
      <c r="HW102" s="14"/>
      <c r="HX102" s="14"/>
      <c r="HY102" s="14"/>
      <c r="HZ102" s="14"/>
      <c r="IA102" s="14"/>
      <c r="IB102" s="14"/>
      <c r="IC102" s="14"/>
      <c r="ID102" s="14"/>
      <c r="IE102" s="14"/>
      <c r="IF102" s="14"/>
      <c r="IG102" s="14"/>
      <c r="IH102" s="14"/>
      <c r="II102" s="14"/>
      <c r="IJ102" s="14"/>
      <c r="IK102" s="14"/>
      <c r="IL102" s="14"/>
      <c r="IM102" s="14"/>
      <c r="IN102" s="14"/>
      <c r="IO102" s="14"/>
      <c r="IP102" s="14"/>
      <c r="IQ102" s="14"/>
      <c r="IR102" s="14"/>
      <c r="IS102" s="14"/>
      <c r="IT102" s="14"/>
      <c r="IU102" s="14"/>
      <c r="IV102" s="14"/>
    </row>
    <row r="103" spans="1:256" s="290" customFormat="1" ht="38.25" x14ac:dyDescent="0.3">
      <c r="A103" s="69"/>
      <c r="B103" s="8"/>
      <c r="C103" s="82" t="s">
        <v>1454</v>
      </c>
      <c r="D103" s="267" t="s">
        <v>26</v>
      </c>
      <c r="E103" s="71" t="s">
        <v>23</v>
      </c>
      <c r="F103" s="74">
        <f>2*2.2</f>
        <v>4.4000000000000004</v>
      </c>
      <c r="G103" s="29">
        <v>679000</v>
      </c>
      <c r="H103" s="355">
        <v>1</v>
      </c>
      <c r="I103" s="354">
        <v>1.1479999999999999</v>
      </c>
      <c r="J103" s="32">
        <f t="shared" si="8"/>
        <v>3430000</v>
      </c>
      <c r="K103" s="39">
        <f t="shared" si="7"/>
        <v>3430000</v>
      </c>
      <c r="L103" s="261">
        <f t="shared" si="6"/>
        <v>0</v>
      </c>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4"/>
      <c r="GI103" s="14"/>
      <c r="GJ103" s="14"/>
      <c r="GK103" s="14"/>
      <c r="GL103" s="14"/>
      <c r="GM103" s="14"/>
      <c r="GN103" s="14"/>
      <c r="GO103" s="14"/>
      <c r="GP103" s="14"/>
      <c r="GQ103" s="14"/>
      <c r="GR103" s="14"/>
      <c r="GS103" s="14"/>
      <c r="GT103" s="14"/>
      <c r="GU103" s="14"/>
      <c r="GV103" s="14"/>
      <c r="GW103" s="14"/>
      <c r="GX103" s="14"/>
      <c r="GY103" s="14"/>
      <c r="GZ103" s="14"/>
      <c r="HA103" s="14"/>
      <c r="HB103" s="14"/>
      <c r="HC103" s="14"/>
      <c r="HD103" s="14"/>
      <c r="HE103" s="14"/>
      <c r="HF103" s="14"/>
      <c r="HG103" s="14"/>
      <c r="HH103" s="14"/>
      <c r="HI103" s="14"/>
      <c r="HJ103" s="14"/>
      <c r="HK103" s="14"/>
      <c r="HL103" s="14"/>
      <c r="HM103" s="14"/>
      <c r="HN103" s="14"/>
      <c r="HO103" s="14"/>
      <c r="HP103" s="14"/>
      <c r="HQ103" s="14"/>
      <c r="HR103" s="14"/>
      <c r="HS103" s="14"/>
      <c r="HT103" s="14"/>
      <c r="HU103" s="14"/>
      <c r="HV103" s="14"/>
      <c r="HW103" s="14"/>
      <c r="HX103" s="14"/>
      <c r="HY103" s="14"/>
      <c r="HZ103" s="14"/>
      <c r="IA103" s="14"/>
      <c r="IB103" s="14"/>
      <c r="IC103" s="14"/>
      <c r="ID103" s="14"/>
      <c r="IE103" s="14"/>
      <c r="IF103" s="14"/>
      <c r="IG103" s="14"/>
      <c r="IH103" s="14"/>
      <c r="II103" s="14"/>
      <c r="IJ103" s="14"/>
      <c r="IK103" s="14"/>
      <c r="IL103" s="14"/>
      <c r="IM103" s="14"/>
      <c r="IN103" s="14"/>
      <c r="IO103" s="14"/>
      <c r="IP103" s="14"/>
      <c r="IQ103" s="14"/>
      <c r="IR103" s="14"/>
      <c r="IS103" s="14"/>
      <c r="IT103" s="14"/>
      <c r="IU103" s="14"/>
      <c r="IV103" s="14"/>
    </row>
    <row r="104" spans="1:256" s="290" customFormat="1" ht="25.5" x14ac:dyDescent="0.3">
      <c r="A104" s="69"/>
      <c r="B104" s="8"/>
      <c r="C104" s="143" t="s">
        <v>1455</v>
      </c>
      <c r="D104" s="271" t="s">
        <v>94</v>
      </c>
      <c r="E104" s="63" t="s">
        <v>35</v>
      </c>
      <c r="F104" s="98">
        <v>1</v>
      </c>
      <c r="G104" s="112">
        <v>1065100</v>
      </c>
      <c r="H104" s="365">
        <v>1</v>
      </c>
      <c r="I104" s="366">
        <v>1</v>
      </c>
      <c r="J104" s="367">
        <f t="shared" si="8"/>
        <v>1065000</v>
      </c>
      <c r="K104" s="39">
        <f t="shared" si="7"/>
        <v>1065000</v>
      </c>
      <c r="L104" s="261">
        <f t="shared" si="6"/>
        <v>0</v>
      </c>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c r="EW104" s="14"/>
      <c r="EX104" s="14"/>
      <c r="EY104" s="14"/>
      <c r="EZ104" s="14"/>
      <c r="FA104" s="14"/>
      <c r="FB104" s="14"/>
      <c r="FC104" s="14"/>
      <c r="FD104" s="14"/>
      <c r="FE104" s="14"/>
      <c r="FF104" s="14"/>
      <c r="FG104" s="14"/>
      <c r="FH104" s="14"/>
      <c r="FI104" s="14"/>
      <c r="FJ104" s="14"/>
      <c r="FK104" s="14"/>
      <c r="FL104" s="14"/>
      <c r="FM104" s="14"/>
      <c r="FN104" s="14"/>
      <c r="FO104" s="14"/>
      <c r="FP104" s="14"/>
      <c r="FQ104" s="14"/>
      <c r="FR104" s="14"/>
      <c r="FS104" s="14"/>
      <c r="FT104" s="14"/>
      <c r="FU104" s="14"/>
      <c r="FV104" s="14"/>
      <c r="FW104" s="14"/>
      <c r="FX104" s="14"/>
      <c r="FY104" s="14"/>
      <c r="FZ104" s="14"/>
      <c r="GA104" s="14"/>
      <c r="GB104" s="14"/>
      <c r="GC104" s="14"/>
      <c r="GD104" s="14"/>
      <c r="GE104" s="14"/>
      <c r="GF104" s="14"/>
      <c r="GG104" s="14"/>
      <c r="GH104" s="14"/>
      <c r="GI104" s="14"/>
      <c r="GJ104" s="14"/>
      <c r="GK104" s="14"/>
      <c r="GL104" s="14"/>
      <c r="GM104" s="14"/>
      <c r="GN104" s="14"/>
      <c r="GO104" s="14"/>
      <c r="GP104" s="14"/>
      <c r="GQ104" s="14"/>
      <c r="GR104" s="14"/>
      <c r="GS104" s="14"/>
      <c r="GT104" s="14"/>
      <c r="GU104" s="14"/>
      <c r="GV104" s="14"/>
      <c r="GW104" s="14"/>
      <c r="GX104" s="14"/>
      <c r="GY104" s="14"/>
      <c r="GZ104" s="14"/>
      <c r="HA104" s="14"/>
      <c r="HB104" s="14"/>
      <c r="HC104" s="14"/>
      <c r="HD104" s="14"/>
      <c r="HE104" s="14"/>
      <c r="HF104" s="14"/>
      <c r="HG104" s="14"/>
      <c r="HH104" s="14"/>
      <c r="HI104" s="14"/>
      <c r="HJ104" s="14"/>
      <c r="HK104" s="14"/>
      <c r="HL104" s="14"/>
      <c r="HM104" s="14"/>
      <c r="HN104" s="14"/>
      <c r="HO104" s="14"/>
      <c r="HP104" s="14"/>
      <c r="HQ104" s="14"/>
      <c r="HR104" s="14"/>
      <c r="HS104" s="14"/>
      <c r="HT104" s="14"/>
      <c r="HU104" s="14"/>
      <c r="HV104" s="14"/>
      <c r="HW104" s="14"/>
      <c r="HX104" s="14"/>
      <c r="HY104" s="14"/>
      <c r="HZ104" s="14"/>
      <c r="IA104" s="14"/>
      <c r="IB104" s="14"/>
      <c r="IC104" s="14"/>
      <c r="ID104" s="14"/>
      <c r="IE104" s="14"/>
      <c r="IF104" s="14"/>
      <c r="IG104" s="14"/>
      <c r="IH104" s="14"/>
      <c r="II104" s="14"/>
      <c r="IJ104" s="14"/>
      <c r="IK104" s="14"/>
      <c r="IL104" s="14"/>
      <c r="IM104" s="14"/>
      <c r="IN104" s="14"/>
      <c r="IO104" s="14"/>
      <c r="IP104" s="14"/>
      <c r="IQ104" s="14"/>
      <c r="IR104" s="14"/>
      <c r="IS104" s="14"/>
      <c r="IT104" s="14"/>
      <c r="IU104" s="14"/>
      <c r="IV104" s="14"/>
    </row>
    <row r="105" spans="1:256" s="290" customFormat="1" ht="25.5" x14ac:dyDescent="0.3">
      <c r="A105" s="69"/>
      <c r="B105" s="8"/>
      <c r="C105" s="143" t="s">
        <v>1456</v>
      </c>
      <c r="D105" s="271" t="s">
        <v>94</v>
      </c>
      <c r="E105" s="63" t="s">
        <v>35</v>
      </c>
      <c r="F105" s="98">
        <v>1</v>
      </c>
      <c r="G105" s="112">
        <v>1065100</v>
      </c>
      <c r="H105" s="365">
        <v>1</v>
      </c>
      <c r="I105" s="366">
        <v>1</v>
      </c>
      <c r="J105" s="367">
        <f t="shared" si="8"/>
        <v>1065000</v>
      </c>
      <c r="K105" s="39">
        <f t="shared" si="7"/>
        <v>1065000</v>
      </c>
      <c r="L105" s="261">
        <f t="shared" si="6"/>
        <v>0</v>
      </c>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c r="FC105" s="14"/>
      <c r="FD105" s="14"/>
      <c r="FE105" s="14"/>
      <c r="FF105" s="14"/>
      <c r="FG105" s="14"/>
      <c r="FH105" s="14"/>
      <c r="FI105" s="14"/>
      <c r="FJ105" s="14"/>
      <c r="FK105" s="14"/>
      <c r="FL105" s="14"/>
      <c r="FM105" s="14"/>
      <c r="FN105" s="14"/>
      <c r="FO105" s="14"/>
      <c r="FP105" s="14"/>
      <c r="FQ105" s="14"/>
      <c r="FR105" s="14"/>
      <c r="FS105" s="14"/>
      <c r="FT105" s="14"/>
      <c r="FU105" s="14"/>
      <c r="FV105" s="14"/>
      <c r="FW105" s="14"/>
      <c r="FX105" s="14"/>
      <c r="FY105" s="14"/>
      <c r="FZ105" s="14"/>
      <c r="GA105" s="14"/>
      <c r="GB105" s="14"/>
      <c r="GC105" s="14"/>
      <c r="GD105" s="14"/>
      <c r="GE105" s="14"/>
      <c r="GF105" s="14"/>
      <c r="GG105" s="14"/>
      <c r="GH105" s="14"/>
      <c r="GI105" s="14"/>
      <c r="GJ105" s="14"/>
      <c r="GK105" s="14"/>
      <c r="GL105" s="14"/>
      <c r="GM105" s="14"/>
      <c r="GN105" s="14"/>
      <c r="GO105" s="14"/>
      <c r="GP105" s="14"/>
      <c r="GQ105" s="14"/>
      <c r="GR105" s="14"/>
      <c r="GS105" s="14"/>
      <c r="GT105" s="14"/>
      <c r="GU105" s="14"/>
      <c r="GV105" s="14"/>
      <c r="GW105" s="14"/>
      <c r="GX105" s="14"/>
      <c r="GY105" s="14"/>
      <c r="GZ105" s="14"/>
      <c r="HA105" s="14"/>
      <c r="HB105" s="14"/>
      <c r="HC105" s="14"/>
      <c r="HD105" s="14"/>
      <c r="HE105" s="14"/>
      <c r="HF105" s="14"/>
      <c r="HG105" s="14"/>
      <c r="HH105" s="14"/>
      <c r="HI105" s="14"/>
      <c r="HJ105" s="14"/>
      <c r="HK105" s="14"/>
      <c r="HL105" s="14"/>
      <c r="HM105" s="14"/>
      <c r="HN105" s="14"/>
      <c r="HO105" s="14"/>
      <c r="HP105" s="14"/>
      <c r="HQ105" s="14"/>
      <c r="HR105" s="14"/>
      <c r="HS105" s="14"/>
      <c r="HT105" s="14"/>
      <c r="HU105" s="14"/>
      <c r="HV105" s="14"/>
      <c r="HW105" s="14"/>
      <c r="HX105" s="14"/>
      <c r="HY105" s="14"/>
      <c r="HZ105" s="14"/>
      <c r="IA105" s="14"/>
      <c r="IB105" s="14"/>
      <c r="IC105" s="14"/>
      <c r="ID105" s="14"/>
      <c r="IE105" s="14"/>
      <c r="IF105" s="14"/>
      <c r="IG105" s="14"/>
      <c r="IH105" s="14"/>
      <c r="II105" s="14"/>
      <c r="IJ105" s="14"/>
      <c r="IK105" s="14"/>
      <c r="IL105" s="14"/>
      <c r="IM105" s="14"/>
      <c r="IN105" s="14"/>
      <c r="IO105" s="14"/>
      <c r="IP105" s="14"/>
      <c r="IQ105" s="14"/>
      <c r="IR105" s="14"/>
      <c r="IS105" s="14"/>
      <c r="IT105" s="14"/>
      <c r="IU105" s="14"/>
      <c r="IV105" s="14"/>
    </row>
    <row r="106" spans="1:256" s="290" customFormat="1" ht="38.25" x14ac:dyDescent="0.3">
      <c r="A106" s="104"/>
      <c r="B106" s="105"/>
      <c r="C106" s="113" t="s">
        <v>1457</v>
      </c>
      <c r="D106" s="399" t="s">
        <v>44</v>
      </c>
      <c r="E106" s="126" t="s">
        <v>45</v>
      </c>
      <c r="F106" s="123">
        <v>7</v>
      </c>
      <c r="G106" s="177">
        <v>28000</v>
      </c>
      <c r="H106" s="355">
        <v>1</v>
      </c>
      <c r="I106" s="400">
        <v>1.1479999999999999</v>
      </c>
      <c r="J106" s="378">
        <f t="shared" si="8"/>
        <v>225000</v>
      </c>
      <c r="K106" s="39">
        <f t="shared" si="7"/>
        <v>225000</v>
      </c>
      <c r="L106" s="261">
        <f t="shared" si="6"/>
        <v>0</v>
      </c>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c r="EV106" s="14"/>
      <c r="EW106" s="14"/>
      <c r="EX106" s="14"/>
      <c r="EY106" s="14"/>
      <c r="EZ106" s="14"/>
      <c r="FA106" s="14"/>
      <c r="FB106" s="14"/>
      <c r="FC106" s="14"/>
      <c r="FD106" s="14"/>
      <c r="FE106" s="14"/>
      <c r="FF106" s="14"/>
      <c r="FG106" s="14"/>
      <c r="FH106" s="14"/>
      <c r="FI106" s="14"/>
      <c r="FJ106" s="14"/>
      <c r="FK106" s="14"/>
      <c r="FL106" s="14"/>
      <c r="FM106" s="14"/>
      <c r="FN106" s="14"/>
      <c r="FO106" s="14"/>
      <c r="FP106" s="14"/>
      <c r="FQ106" s="14"/>
      <c r="FR106" s="14"/>
      <c r="FS106" s="14"/>
      <c r="FT106" s="14"/>
      <c r="FU106" s="14"/>
      <c r="FV106" s="14"/>
      <c r="FW106" s="14"/>
      <c r="FX106" s="14"/>
      <c r="FY106" s="14"/>
      <c r="FZ106" s="14"/>
      <c r="GA106" s="14"/>
      <c r="GB106" s="14"/>
      <c r="GC106" s="14"/>
      <c r="GD106" s="14"/>
      <c r="GE106" s="14"/>
      <c r="GF106" s="14"/>
      <c r="GG106" s="14"/>
      <c r="GH106" s="14"/>
      <c r="GI106" s="14"/>
      <c r="GJ106" s="14"/>
      <c r="GK106" s="14"/>
      <c r="GL106" s="14"/>
      <c r="GM106" s="14"/>
      <c r="GN106" s="14"/>
      <c r="GO106" s="14"/>
      <c r="GP106" s="14"/>
      <c r="GQ106" s="14"/>
      <c r="GR106" s="14"/>
      <c r="GS106" s="14"/>
      <c r="GT106" s="14"/>
      <c r="GU106" s="14"/>
      <c r="GV106" s="14"/>
      <c r="GW106" s="14"/>
      <c r="GX106" s="14"/>
      <c r="GY106" s="14"/>
      <c r="GZ106" s="14"/>
      <c r="HA106" s="14"/>
      <c r="HB106" s="14"/>
      <c r="HC106" s="14"/>
      <c r="HD106" s="14"/>
      <c r="HE106" s="14"/>
      <c r="HF106" s="14"/>
      <c r="HG106" s="14"/>
      <c r="HH106" s="14"/>
      <c r="HI106" s="14"/>
      <c r="HJ106" s="14"/>
      <c r="HK106" s="14"/>
      <c r="HL106" s="14"/>
      <c r="HM106" s="14"/>
      <c r="HN106" s="14"/>
      <c r="HO106" s="14"/>
      <c r="HP106" s="14"/>
      <c r="HQ106" s="14"/>
      <c r="HR106" s="14"/>
      <c r="HS106" s="14"/>
      <c r="HT106" s="14"/>
      <c r="HU106" s="14"/>
      <c r="HV106" s="14"/>
      <c r="HW106" s="14"/>
      <c r="HX106" s="14"/>
      <c r="HY106" s="14"/>
      <c r="HZ106" s="14"/>
      <c r="IA106" s="14"/>
      <c r="IB106" s="14"/>
      <c r="IC106" s="14"/>
      <c r="ID106" s="14"/>
      <c r="IE106" s="14"/>
      <c r="IF106" s="14"/>
      <c r="IG106" s="14"/>
      <c r="IH106" s="14"/>
      <c r="II106" s="14"/>
      <c r="IJ106" s="14"/>
      <c r="IK106" s="14"/>
      <c r="IL106" s="14"/>
      <c r="IM106" s="14"/>
      <c r="IN106" s="14"/>
      <c r="IO106" s="14"/>
      <c r="IP106" s="14"/>
      <c r="IQ106" s="14"/>
      <c r="IR106" s="14"/>
      <c r="IS106" s="14"/>
      <c r="IT106" s="14"/>
      <c r="IU106" s="14"/>
      <c r="IV106" s="14"/>
    </row>
    <row r="107" spans="1:256" s="290" customFormat="1" ht="38.25" x14ac:dyDescent="0.3">
      <c r="A107" s="69"/>
      <c r="B107" s="8"/>
      <c r="C107" s="113" t="s">
        <v>1458</v>
      </c>
      <c r="D107" s="271" t="s">
        <v>47</v>
      </c>
      <c r="E107" s="63" t="s">
        <v>45</v>
      </c>
      <c r="F107" s="157">
        <v>7</v>
      </c>
      <c r="G107" s="46">
        <v>28000</v>
      </c>
      <c r="H107" s="355">
        <v>1</v>
      </c>
      <c r="I107" s="354">
        <v>1.1479999999999999</v>
      </c>
      <c r="J107" s="378">
        <f t="shared" si="8"/>
        <v>225000</v>
      </c>
      <c r="K107" s="39">
        <f t="shared" si="7"/>
        <v>225000</v>
      </c>
      <c r="L107" s="261">
        <f t="shared" si="6"/>
        <v>0</v>
      </c>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c r="EQ107" s="14"/>
      <c r="ER107" s="14"/>
      <c r="ES107" s="14"/>
      <c r="ET107" s="14"/>
      <c r="EU107" s="14"/>
      <c r="EV107" s="14"/>
      <c r="EW107" s="14"/>
      <c r="EX107" s="14"/>
      <c r="EY107" s="14"/>
      <c r="EZ107" s="14"/>
      <c r="FA107" s="14"/>
      <c r="FB107" s="14"/>
      <c r="FC107" s="14"/>
      <c r="FD107" s="14"/>
      <c r="FE107" s="14"/>
      <c r="FF107" s="14"/>
      <c r="FG107" s="14"/>
      <c r="FH107" s="14"/>
      <c r="FI107" s="14"/>
      <c r="FJ107" s="14"/>
      <c r="FK107" s="14"/>
      <c r="FL107" s="14"/>
      <c r="FM107" s="14"/>
      <c r="FN107" s="14"/>
      <c r="FO107" s="14"/>
      <c r="FP107" s="14"/>
      <c r="FQ107" s="14"/>
      <c r="FR107" s="14"/>
      <c r="FS107" s="14"/>
      <c r="FT107" s="14"/>
      <c r="FU107" s="14"/>
      <c r="FV107" s="14"/>
      <c r="FW107" s="14"/>
      <c r="FX107" s="14"/>
      <c r="FY107" s="14"/>
      <c r="FZ107" s="14"/>
      <c r="GA107" s="14"/>
      <c r="GB107" s="14"/>
      <c r="GC107" s="14"/>
      <c r="GD107" s="14"/>
      <c r="GE107" s="14"/>
      <c r="GF107" s="14"/>
      <c r="GG107" s="14"/>
      <c r="GH107" s="14"/>
      <c r="GI107" s="14"/>
      <c r="GJ107" s="14"/>
      <c r="GK107" s="14"/>
      <c r="GL107" s="14"/>
      <c r="GM107" s="14"/>
      <c r="GN107" s="14"/>
      <c r="GO107" s="14"/>
      <c r="GP107" s="14"/>
      <c r="GQ107" s="14"/>
      <c r="GR107" s="14"/>
      <c r="GS107" s="14"/>
      <c r="GT107" s="14"/>
      <c r="GU107" s="14"/>
      <c r="GV107" s="14"/>
      <c r="GW107" s="14"/>
      <c r="GX107" s="14"/>
      <c r="GY107" s="14"/>
      <c r="GZ107" s="14"/>
      <c r="HA107" s="14"/>
      <c r="HB107" s="14"/>
      <c r="HC107" s="14"/>
      <c r="HD107" s="14"/>
      <c r="HE107" s="14"/>
      <c r="HF107" s="14"/>
      <c r="HG107" s="14"/>
      <c r="HH107" s="14"/>
      <c r="HI107" s="14"/>
      <c r="HJ107" s="14"/>
      <c r="HK107" s="14"/>
      <c r="HL107" s="14"/>
      <c r="HM107" s="14"/>
      <c r="HN107" s="14"/>
      <c r="HO107" s="14"/>
      <c r="HP107" s="14"/>
      <c r="HQ107" s="14"/>
      <c r="HR107" s="14"/>
      <c r="HS107" s="14"/>
      <c r="HT107" s="14"/>
      <c r="HU107" s="14"/>
      <c r="HV107" s="14"/>
      <c r="HW107" s="14"/>
      <c r="HX107" s="14"/>
      <c r="HY107" s="14"/>
      <c r="HZ107" s="14"/>
      <c r="IA107" s="14"/>
      <c r="IB107" s="14"/>
      <c r="IC107" s="14"/>
      <c r="ID107" s="14"/>
      <c r="IE107" s="14"/>
      <c r="IF107" s="14"/>
      <c r="IG107" s="14"/>
      <c r="IH107" s="14"/>
      <c r="II107" s="14"/>
      <c r="IJ107" s="14"/>
      <c r="IK107" s="14"/>
      <c r="IL107" s="14"/>
      <c r="IM107" s="14"/>
      <c r="IN107" s="14"/>
      <c r="IO107" s="14"/>
      <c r="IP107" s="14"/>
      <c r="IQ107" s="14"/>
      <c r="IR107" s="14"/>
      <c r="IS107" s="14"/>
      <c r="IT107" s="14"/>
      <c r="IU107" s="14"/>
      <c r="IV107" s="14"/>
    </row>
    <row r="108" spans="1:256" s="290" customFormat="1" ht="56.25" customHeight="1" x14ac:dyDescent="0.3">
      <c r="A108" s="401">
        <v>4</v>
      </c>
      <c r="B108" s="402" t="s">
        <v>1459</v>
      </c>
      <c r="C108" s="433" t="s">
        <v>1460</v>
      </c>
      <c r="D108" s="434"/>
      <c r="E108" s="434"/>
      <c r="F108" s="434"/>
      <c r="G108" s="434"/>
      <c r="H108" s="434"/>
      <c r="I108" s="435"/>
      <c r="J108" s="349">
        <f>SUM(J109:J131)</f>
        <v>713816000</v>
      </c>
      <c r="K108" s="39">
        <f t="shared" si="7"/>
        <v>0</v>
      </c>
      <c r="L108" s="261">
        <f t="shared" si="6"/>
        <v>713816000</v>
      </c>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c r="EQ108" s="14"/>
      <c r="ER108" s="14"/>
      <c r="ES108" s="14"/>
      <c r="ET108" s="14"/>
      <c r="EU108" s="14"/>
      <c r="EV108" s="14"/>
      <c r="EW108" s="14"/>
      <c r="EX108" s="14"/>
      <c r="EY108" s="14"/>
      <c r="EZ108" s="14"/>
      <c r="FA108" s="14"/>
      <c r="FB108" s="14"/>
      <c r="FC108" s="14"/>
      <c r="FD108" s="14"/>
      <c r="FE108" s="14"/>
      <c r="FF108" s="14"/>
      <c r="FG108" s="14"/>
      <c r="FH108" s="14"/>
      <c r="FI108" s="14"/>
      <c r="FJ108" s="14"/>
      <c r="FK108" s="14"/>
      <c r="FL108" s="14"/>
      <c r="FM108" s="14"/>
      <c r="FN108" s="14"/>
      <c r="FO108" s="14"/>
      <c r="FP108" s="14"/>
      <c r="FQ108" s="14"/>
      <c r="FR108" s="14"/>
      <c r="FS108" s="14"/>
      <c r="FT108" s="14"/>
      <c r="FU108" s="14"/>
      <c r="FV108" s="14"/>
      <c r="FW108" s="14"/>
      <c r="FX108" s="14"/>
      <c r="FY108" s="14"/>
      <c r="FZ108" s="14"/>
      <c r="GA108" s="14"/>
      <c r="GB108" s="14"/>
      <c r="GC108" s="14"/>
      <c r="GD108" s="14"/>
      <c r="GE108" s="14"/>
      <c r="GF108" s="14"/>
      <c r="GG108" s="14"/>
      <c r="GH108" s="14"/>
      <c r="GI108" s="14"/>
      <c r="GJ108" s="14"/>
      <c r="GK108" s="14"/>
      <c r="GL108" s="14"/>
      <c r="GM108" s="14"/>
      <c r="GN108" s="14"/>
      <c r="GO108" s="14"/>
      <c r="GP108" s="14"/>
      <c r="GQ108" s="14"/>
      <c r="GR108" s="14"/>
      <c r="GS108" s="14"/>
      <c r="GT108" s="14"/>
      <c r="GU108" s="14"/>
      <c r="GV108" s="14"/>
      <c r="GW108" s="14"/>
      <c r="GX108" s="14"/>
      <c r="GY108" s="14"/>
      <c r="GZ108" s="14"/>
      <c r="HA108" s="14"/>
      <c r="HB108" s="14"/>
      <c r="HC108" s="14"/>
      <c r="HD108" s="14"/>
      <c r="HE108" s="14"/>
      <c r="HF108" s="14"/>
      <c r="HG108" s="14"/>
      <c r="HH108" s="14"/>
      <c r="HI108" s="14"/>
      <c r="HJ108" s="14"/>
      <c r="HK108" s="14"/>
      <c r="HL108" s="14"/>
      <c r="HM108" s="14"/>
      <c r="HN108" s="14"/>
      <c r="HO108" s="14"/>
      <c r="HP108" s="14"/>
      <c r="HQ108" s="14"/>
      <c r="HR108" s="14"/>
      <c r="HS108" s="14"/>
      <c r="HT108" s="14"/>
      <c r="HU108" s="14"/>
      <c r="HV108" s="14"/>
      <c r="HW108" s="14"/>
      <c r="HX108" s="14"/>
      <c r="HY108" s="14"/>
      <c r="HZ108" s="14"/>
      <c r="IA108" s="14"/>
      <c r="IB108" s="14"/>
      <c r="IC108" s="14"/>
      <c r="ID108" s="14"/>
      <c r="IE108" s="14"/>
      <c r="IF108" s="14"/>
      <c r="IG108" s="14"/>
      <c r="IH108" s="14"/>
      <c r="II108" s="14"/>
      <c r="IJ108" s="14"/>
      <c r="IK108" s="14"/>
      <c r="IL108" s="14"/>
      <c r="IM108" s="14"/>
      <c r="IN108" s="14"/>
      <c r="IO108" s="14"/>
      <c r="IP108" s="14"/>
      <c r="IQ108" s="14"/>
      <c r="IR108" s="14"/>
      <c r="IS108" s="14"/>
      <c r="IT108" s="14"/>
      <c r="IU108" s="14"/>
      <c r="IV108" s="14"/>
    </row>
    <row r="109" spans="1:256" s="397" customFormat="1" ht="56.25" x14ac:dyDescent="0.3">
      <c r="A109" s="403"/>
      <c r="B109" s="404"/>
      <c r="C109" s="128" t="s">
        <v>1440</v>
      </c>
      <c r="D109" s="277" t="s">
        <v>112</v>
      </c>
      <c r="E109" s="182" t="s">
        <v>828</v>
      </c>
      <c r="F109" s="309">
        <v>29.9</v>
      </c>
      <c r="G109" s="350">
        <v>11100000</v>
      </c>
      <c r="H109" s="351">
        <v>1</v>
      </c>
      <c r="I109" s="352">
        <v>1.4</v>
      </c>
      <c r="J109" s="130">
        <f>ROUND(F109*G109*H109*I109,-3)</f>
        <v>464646000</v>
      </c>
      <c r="K109" s="39">
        <f t="shared" si="7"/>
        <v>464646000</v>
      </c>
      <c r="L109" s="395">
        <f t="shared" si="6"/>
        <v>0</v>
      </c>
      <c r="M109" s="396"/>
      <c r="N109" s="396"/>
      <c r="O109" s="396"/>
      <c r="P109" s="396"/>
      <c r="Q109" s="396"/>
      <c r="R109" s="396"/>
      <c r="S109" s="396"/>
      <c r="T109" s="396"/>
      <c r="U109" s="396"/>
      <c r="V109" s="396"/>
      <c r="W109" s="396"/>
      <c r="X109" s="396"/>
      <c r="Y109" s="396"/>
      <c r="Z109" s="396"/>
      <c r="AA109" s="396"/>
      <c r="AB109" s="396"/>
      <c r="AC109" s="396"/>
      <c r="AD109" s="396"/>
      <c r="AE109" s="396"/>
      <c r="AF109" s="396"/>
      <c r="AG109" s="396"/>
      <c r="AH109" s="396"/>
      <c r="AI109" s="396"/>
      <c r="AJ109" s="396"/>
      <c r="AK109" s="396"/>
      <c r="AL109" s="396"/>
      <c r="AM109" s="396"/>
      <c r="AN109" s="396"/>
      <c r="AO109" s="396"/>
      <c r="AP109" s="396"/>
      <c r="AQ109" s="396"/>
      <c r="AR109" s="396"/>
      <c r="AS109" s="396"/>
      <c r="AT109" s="396"/>
      <c r="AU109" s="396"/>
      <c r="AV109" s="396"/>
      <c r="AW109" s="396"/>
      <c r="AX109" s="396"/>
      <c r="AY109" s="396"/>
      <c r="AZ109" s="396"/>
      <c r="BA109" s="396"/>
      <c r="BB109" s="396"/>
      <c r="BC109" s="396"/>
      <c r="BD109" s="396"/>
      <c r="BE109" s="396"/>
      <c r="BF109" s="396"/>
      <c r="BG109" s="396"/>
      <c r="BH109" s="396"/>
      <c r="BI109" s="396"/>
      <c r="BJ109" s="396"/>
      <c r="BK109" s="396"/>
      <c r="BL109" s="396"/>
      <c r="BM109" s="396"/>
      <c r="BN109" s="396"/>
      <c r="BO109" s="396"/>
      <c r="BP109" s="396"/>
      <c r="BQ109" s="396"/>
      <c r="BR109" s="396"/>
      <c r="BS109" s="396"/>
      <c r="BT109" s="396"/>
      <c r="BU109" s="396"/>
      <c r="BV109" s="396"/>
      <c r="BW109" s="396"/>
      <c r="BX109" s="396"/>
      <c r="BY109" s="396"/>
      <c r="BZ109" s="396"/>
      <c r="CA109" s="396"/>
      <c r="CB109" s="396"/>
      <c r="CC109" s="396"/>
      <c r="CD109" s="396"/>
      <c r="CE109" s="396"/>
      <c r="CF109" s="396"/>
      <c r="CG109" s="396"/>
      <c r="CH109" s="396"/>
      <c r="CI109" s="396"/>
      <c r="CJ109" s="396"/>
      <c r="CK109" s="396"/>
      <c r="CL109" s="396"/>
      <c r="CM109" s="396"/>
      <c r="CN109" s="396"/>
      <c r="CO109" s="396"/>
      <c r="CP109" s="396"/>
      <c r="CQ109" s="396"/>
      <c r="CR109" s="396"/>
      <c r="CS109" s="396"/>
      <c r="CT109" s="396"/>
      <c r="CU109" s="396"/>
      <c r="CV109" s="396"/>
      <c r="CW109" s="396"/>
      <c r="CX109" s="396"/>
      <c r="CY109" s="396"/>
      <c r="CZ109" s="396"/>
      <c r="DA109" s="396"/>
      <c r="DB109" s="396"/>
      <c r="DC109" s="396"/>
      <c r="DD109" s="396"/>
      <c r="DE109" s="396"/>
      <c r="DF109" s="396"/>
      <c r="DG109" s="396"/>
      <c r="DH109" s="396"/>
      <c r="DI109" s="396"/>
      <c r="DJ109" s="396"/>
      <c r="DK109" s="396"/>
      <c r="DL109" s="396"/>
      <c r="DM109" s="396"/>
      <c r="DN109" s="396"/>
      <c r="DO109" s="396"/>
      <c r="DP109" s="396"/>
      <c r="DQ109" s="396"/>
      <c r="DR109" s="396"/>
      <c r="DS109" s="396"/>
      <c r="DT109" s="396"/>
      <c r="DU109" s="396"/>
      <c r="DV109" s="396"/>
      <c r="DW109" s="396"/>
      <c r="DX109" s="396"/>
      <c r="DY109" s="396"/>
      <c r="DZ109" s="396"/>
      <c r="EA109" s="396"/>
      <c r="EB109" s="396"/>
      <c r="EC109" s="396"/>
      <c r="ED109" s="396"/>
      <c r="EE109" s="396"/>
      <c r="EF109" s="396"/>
      <c r="EG109" s="396"/>
      <c r="EH109" s="396"/>
      <c r="EI109" s="396"/>
      <c r="EJ109" s="396"/>
      <c r="EK109" s="396"/>
      <c r="EL109" s="396"/>
      <c r="EM109" s="396"/>
      <c r="EN109" s="396"/>
      <c r="EO109" s="396"/>
      <c r="EP109" s="396"/>
      <c r="EQ109" s="396"/>
      <c r="ER109" s="396"/>
      <c r="ES109" s="396"/>
      <c r="ET109" s="396"/>
      <c r="EU109" s="396"/>
      <c r="EV109" s="396"/>
      <c r="EW109" s="396"/>
      <c r="EX109" s="396"/>
      <c r="EY109" s="396"/>
      <c r="EZ109" s="396"/>
      <c r="FA109" s="396"/>
      <c r="FB109" s="396"/>
      <c r="FC109" s="396"/>
      <c r="FD109" s="396"/>
      <c r="FE109" s="396"/>
      <c r="FF109" s="396"/>
      <c r="FG109" s="396"/>
      <c r="FH109" s="396"/>
      <c r="FI109" s="396"/>
      <c r="FJ109" s="396"/>
      <c r="FK109" s="396"/>
      <c r="FL109" s="396"/>
      <c r="FM109" s="396"/>
      <c r="FN109" s="396"/>
      <c r="FO109" s="396"/>
      <c r="FP109" s="396"/>
      <c r="FQ109" s="396"/>
      <c r="FR109" s="396"/>
      <c r="FS109" s="396"/>
      <c r="FT109" s="396"/>
      <c r="FU109" s="396"/>
      <c r="FV109" s="396"/>
      <c r="FW109" s="396"/>
      <c r="FX109" s="396"/>
      <c r="FY109" s="396"/>
      <c r="FZ109" s="396"/>
      <c r="GA109" s="396"/>
      <c r="GB109" s="396"/>
      <c r="GC109" s="396"/>
      <c r="GD109" s="396"/>
      <c r="GE109" s="396"/>
      <c r="GF109" s="396"/>
      <c r="GG109" s="396"/>
      <c r="GH109" s="396"/>
      <c r="GI109" s="396"/>
      <c r="GJ109" s="396"/>
      <c r="GK109" s="396"/>
      <c r="GL109" s="396"/>
      <c r="GM109" s="396"/>
      <c r="GN109" s="396"/>
      <c r="GO109" s="396"/>
      <c r="GP109" s="396"/>
      <c r="GQ109" s="396"/>
      <c r="GR109" s="396"/>
      <c r="GS109" s="396"/>
      <c r="GT109" s="396"/>
      <c r="GU109" s="396"/>
      <c r="GV109" s="396"/>
      <c r="GW109" s="396"/>
      <c r="GX109" s="396"/>
      <c r="GY109" s="396"/>
      <c r="GZ109" s="396"/>
      <c r="HA109" s="396"/>
      <c r="HB109" s="396"/>
      <c r="HC109" s="396"/>
      <c r="HD109" s="396"/>
      <c r="HE109" s="396"/>
      <c r="HF109" s="396"/>
      <c r="HG109" s="396"/>
      <c r="HH109" s="396"/>
      <c r="HI109" s="396"/>
      <c r="HJ109" s="396"/>
      <c r="HK109" s="396"/>
      <c r="HL109" s="396"/>
      <c r="HM109" s="396"/>
      <c r="HN109" s="396"/>
      <c r="HO109" s="396"/>
      <c r="HP109" s="396"/>
      <c r="HQ109" s="396"/>
      <c r="HR109" s="396"/>
      <c r="HS109" s="396"/>
      <c r="HT109" s="396"/>
      <c r="HU109" s="396"/>
      <c r="HV109" s="396"/>
      <c r="HW109" s="396"/>
      <c r="HX109" s="396"/>
      <c r="HY109" s="396"/>
      <c r="HZ109" s="396"/>
      <c r="IA109" s="396"/>
      <c r="IB109" s="396"/>
      <c r="IC109" s="396"/>
      <c r="ID109" s="396"/>
      <c r="IE109" s="396"/>
      <c r="IF109" s="396"/>
      <c r="IG109" s="396"/>
      <c r="IH109" s="396"/>
      <c r="II109" s="396"/>
      <c r="IJ109" s="396"/>
      <c r="IK109" s="396"/>
      <c r="IL109" s="396"/>
      <c r="IM109" s="396"/>
      <c r="IN109" s="396"/>
      <c r="IO109" s="396"/>
      <c r="IP109" s="396"/>
      <c r="IQ109" s="396"/>
      <c r="IR109" s="396"/>
      <c r="IS109" s="396"/>
      <c r="IT109" s="396"/>
      <c r="IU109" s="396"/>
      <c r="IV109" s="396"/>
    </row>
    <row r="110" spans="1:256" s="397" customFormat="1" ht="85.5" customHeight="1" x14ac:dyDescent="0.3">
      <c r="A110" s="403"/>
      <c r="B110" s="404"/>
      <c r="C110" s="128" t="s">
        <v>1062</v>
      </c>
      <c r="D110" s="277" t="s">
        <v>112</v>
      </c>
      <c r="E110" s="182" t="s">
        <v>828</v>
      </c>
      <c r="F110" s="309">
        <v>7.4</v>
      </c>
      <c r="G110" s="453" t="s">
        <v>1441</v>
      </c>
      <c r="H110" s="453"/>
      <c r="I110" s="454"/>
      <c r="J110" s="398"/>
      <c r="K110" s="39"/>
      <c r="L110" s="395">
        <f t="shared" si="6"/>
        <v>0</v>
      </c>
      <c r="M110" s="396"/>
      <c r="N110" s="396"/>
      <c r="O110" s="396"/>
      <c r="P110" s="396"/>
      <c r="Q110" s="396"/>
      <c r="R110" s="396"/>
      <c r="S110" s="396"/>
      <c r="T110" s="396"/>
      <c r="U110" s="396"/>
      <c r="V110" s="396"/>
      <c r="W110" s="396"/>
      <c r="X110" s="396"/>
      <c r="Y110" s="396"/>
      <c r="Z110" s="396"/>
      <c r="AA110" s="396"/>
      <c r="AB110" s="396"/>
      <c r="AC110" s="396"/>
      <c r="AD110" s="396"/>
      <c r="AE110" s="396"/>
      <c r="AF110" s="396"/>
      <c r="AG110" s="396"/>
      <c r="AH110" s="396"/>
      <c r="AI110" s="396"/>
      <c r="AJ110" s="396"/>
      <c r="AK110" s="396"/>
      <c r="AL110" s="396"/>
      <c r="AM110" s="396"/>
      <c r="AN110" s="396"/>
      <c r="AO110" s="396"/>
      <c r="AP110" s="396"/>
      <c r="AQ110" s="396"/>
      <c r="AR110" s="396"/>
      <c r="AS110" s="396"/>
      <c r="AT110" s="396"/>
      <c r="AU110" s="396"/>
      <c r="AV110" s="396"/>
      <c r="AW110" s="396"/>
      <c r="AX110" s="396"/>
      <c r="AY110" s="396"/>
      <c r="AZ110" s="396"/>
      <c r="BA110" s="396"/>
      <c r="BB110" s="396"/>
      <c r="BC110" s="396"/>
      <c r="BD110" s="396"/>
      <c r="BE110" s="396"/>
      <c r="BF110" s="396"/>
      <c r="BG110" s="396"/>
      <c r="BH110" s="396"/>
      <c r="BI110" s="396"/>
      <c r="BJ110" s="396"/>
      <c r="BK110" s="396"/>
      <c r="BL110" s="396"/>
      <c r="BM110" s="396"/>
      <c r="BN110" s="396"/>
      <c r="BO110" s="396"/>
      <c r="BP110" s="396"/>
      <c r="BQ110" s="396"/>
      <c r="BR110" s="396"/>
      <c r="BS110" s="396"/>
      <c r="BT110" s="396"/>
      <c r="BU110" s="396"/>
      <c r="BV110" s="396"/>
      <c r="BW110" s="396"/>
      <c r="BX110" s="396"/>
      <c r="BY110" s="396"/>
      <c r="BZ110" s="396"/>
      <c r="CA110" s="396"/>
      <c r="CB110" s="396"/>
      <c r="CC110" s="396"/>
      <c r="CD110" s="396"/>
      <c r="CE110" s="396"/>
      <c r="CF110" s="396"/>
      <c r="CG110" s="396"/>
      <c r="CH110" s="396"/>
      <c r="CI110" s="396"/>
      <c r="CJ110" s="396"/>
      <c r="CK110" s="396"/>
      <c r="CL110" s="396"/>
      <c r="CM110" s="396"/>
      <c r="CN110" s="396"/>
      <c r="CO110" s="396"/>
      <c r="CP110" s="396"/>
      <c r="CQ110" s="396"/>
      <c r="CR110" s="396"/>
      <c r="CS110" s="396"/>
      <c r="CT110" s="396"/>
      <c r="CU110" s="396"/>
      <c r="CV110" s="396"/>
      <c r="CW110" s="396"/>
      <c r="CX110" s="396"/>
      <c r="CY110" s="396"/>
      <c r="CZ110" s="396"/>
      <c r="DA110" s="396"/>
      <c r="DB110" s="396"/>
      <c r="DC110" s="396"/>
      <c r="DD110" s="396"/>
      <c r="DE110" s="396"/>
      <c r="DF110" s="396"/>
      <c r="DG110" s="396"/>
      <c r="DH110" s="396"/>
      <c r="DI110" s="396"/>
      <c r="DJ110" s="396"/>
      <c r="DK110" s="396"/>
      <c r="DL110" s="396"/>
      <c r="DM110" s="396"/>
      <c r="DN110" s="396"/>
      <c r="DO110" s="396"/>
      <c r="DP110" s="396"/>
      <c r="DQ110" s="396"/>
      <c r="DR110" s="396"/>
      <c r="DS110" s="396"/>
      <c r="DT110" s="396"/>
      <c r="DU110" s="396"/>
      <c r="DV110" s="396"/>
      <c r="DW110" s="396"/>
      <c r="DX110" s="396"/>
      <c r="DY110" s="396"/>
      <c r="DZ110" s="396"/>
      <c r="EA110" s="396"/>
      <c r="EB110" s="396"/>
      <c r="EC110" s="396"/>
      <c r="ED110" s="396"/>
      <c r="EE110" s="396"/>
      <c r="EF110" s="396"/>
      <c r="EG110" s="396"/>
      <c r="EH110" s="396"/>
      <c r="EI110" s="396"/>
      <c r="EJ110" s="396"/>
      <c r="EK110" s="396"/>
      <c r="EL110" s="396"/>
      <c r="EM110" s="396"/>
      <c r="EN110" s="396"/>
      <c r="EO110" s="396"/>
      <c r="EP110" s="396"/>
      <c r="EQ110" s="396"/>
      <c r="ER110" s="396"/>
      <c r="ES110" s="396"/>
      <c r="ET110" s="396"/>
      <c r="EU110" s="396"/>
      <c r="EV110" s="396"/>
      <c r="EW110" s="396"/>
      <c r="EX110" s="396"/>
      <c r="EY110" s="396"/>
      <c r="EZ110" s="396"/>
      <c r="FA110" s="396"/>
      <c r="FB110" s="396"/>
      <c r="FC110" s="396"/>
      <c r="FD110" s="396"/>
      <c r="FE110" s="396"/>
      <c r="FF110" s="396"/>
      <c r="FG110" s="396"/>
      <c r="FH110" s="396"/>
      <c r="FI110" s="396"/>
      <c r="FJ110" s="396"/>
      <c r="FK110" s="396"/>
      <c r="FL110" s="396"/>
      <c r="FM110" s="396"/>
      <c r="FN110" s="396"/>
      <c r="FO110" s="396"/>
      <c r="FP110" s="396"/>
      <c r="FQ110" s="396"/>
      <c r="FR110" s="396"/>
      <c r="FS110" s="396"/>
      <c r="FT110" s="396"/>
      <c r="FU110" s="396"/>
      <c r="FV110" s="396"/>
      <c r="FW110" s="396"/>
      <c r="FX110" s="396"/>
      <c r="FY110" s="396"/>
      <c r="FZ110" s="396"/>
      <c r="GA110" s="396"/>
      <c r="GB110" s="396"/>
      <c r="GC110" s="396"/>
      <c r="GD110" s="396"/>
      <c r="GE110" s="396"/>
      <c r="GF110" s="396"/>
      <c r="GG110" s="396"/>
      <c r="GH110" s="396"/>
      <c r="GI110" s="396"/>
      <c r="GJ110" s="396"/>
      <c r="GK110" s="396"/>
      <c r="GL110" s="396"/>
      <c r="GM110" s="396"/>
      <c r="GN110" s="396"/>
      <c r="GO110" s="396"/>
      <c r="GP110" s="396"/>
      <c r="GQ110" s="396"/>
      <c r="GR110" s="396"/>
      <c r="GS110" s="396"/>
      <c r="GT110" s="396"/>
      <c r="GU110" s="396"/>
      <c r="GV110" s="396"/>
      <c r="GW110" s="396"/>
      <c r="GX110" s="396"/>
      <c r="GY110" s="396"/>
      <c r="GZ110" s="396"/>
      <c r="HA110" s="396"/>
      <c r="HB110" s="396"/>
      <c r="HC110" s="396"/>
      <c r="HD110" s="396"/>
      <c r="HE110" s="396"/>
      <c r="HF110" s="396"/>
      <c r="HG110" s="396"/>
      <c r="HH110" s="396"/>
      <c r="HI110" s="396"/>
      <c r="HJ110" s="396"/>
      <c r="HK110" s="396"/>
      <c r="HL110" s="396"/>
      <c r="HM110" s="396"/>
      <c r="HN110" s="396"/>
      <c r="HO110" s="396"/>
      <c r="HP110" s="396"/>
      <c r="HQ110" s="396"/>
      <c r="HR110" s="396"/>
      <c r="HS110" s="396"/>
      <c r="HT110" s="396"/>
      <c r="HU110" s="396"/>
      <c r="HV110" s="396"/>
      <c r="HW110" s="396"/>
      <c r="HX110" s="396"/>
      <c r="HY110" s="396"/>
      <c r="HZ110" s="396"/>
      <c r="IA110" s="396"/>
      <c r="IB110" s="396"/>
      <c r="IC110" s="396"/>
      <c r="ID110" s="396"/>
      <c r="IE110" s="396"/>
      <c r="IF110" s="396"/>
      <c r="IG110" s="396"/>
      <c r="IH110" s="396"/>
      <c r="II110" s="396"/>
      <c r="IJ110" s="396"/>
      <c r="IK110" s="396"/>
      <c r="IL110" s="396"/>
      <c r="IM110" s="396"/>
      <c r="IN110" s="396"/>
      <c r="IO110" s="396"/>
      <c r="IP110" s="396"/>
      <c r="IQ110" s="396"/>
      <c r="IR110" s="396"/>
      <c r="IS110" s="396"/>
      <c r="IT110" s="396"/>
      <c r="IU110" s="396"/>
      <c r="IV110" s="396"/>
    </row>
    <row r="111" spans="1:256" s="290" customFormat="1" ht="56.25" x14ac:dyDescent="0.3">
      <c r="A111" s="107"/>
      <c r="B111" s="84"/>
      <c r="C111" s="106" t="s">
        <v>1461</v>
      </c>
      <c r="D111" s="405"/>
      <c r="E111" s="118"/>
      <c r="F111" s="147"/>
      <c r="G111" s="406"/>
      <c r="H111" s="407"/>
      <c r="I111" s="377"/>
      <c r="J111" s="32"/>
      <c r="K111" s="39">
        <f t="shared" ref="K111:K131" si="9">ROUND(F111*G111*H111*I111,-3)</f>
        <v>0</v>
      </c>
      <c r="L111" s="261">
        <f t="shared" si="6"/>
        <v>0</v>
      </c>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c r="IE111" s="14"/>
      <c r="IF111" s="14"/>
      <c r="IG111" s="14"/>
      <c r="IH111" s="14"/>
      <c r="II111" s="14"/>
      <c r="IJ111" s="14"/>
      <c r="IK111" s="14"/>
      <c r="IL111" s="14"/>
      <c r="IM111" s="14"/>
      <c r="IN111" s="14"/>
      <c r="IO111" s="14"/>
      <c r="IP111" s="14"/>
      <c r="IQ111" s="14"/>
      <c r="IR111" s="14"/>
      <c r="IS111" s="14"/>
      <c r="IT111" s="14"/>
      <c r="IU111" s="14"/>
      <c r="IV111" s="14"/>
    </row>
    <row r="112" spans="1:256" s="290" customFormat="1" ht="41.25" customHeight="1" x14ac:dyDescent="0.3">
      <c r="A112" s="69"/>
      <c r="B112" s="8"/>
      <c r="C112" s="82" t="s">
        <v>1462</v>
      </c>
      <c r="D112" s="269" t="s">
        <v>1463</v>
      </c>
      <c r="E112" s="27" t="s">
        <v>23</v>
      </c>
      <c r="F112" s="74">
        <f>4*3</f>
        <v>12</v>
      </c>
      <c r="G112" s="11">
        <v>5339000</v>
      </c>
      <c r="H112" s="355">
        <v>1</v>
      </c>
      <c r="I112" s="377">
        <v>1.1479999999999999</v>
      </c>
      <c r="J112" s="32">
        <f t="shared" ref="J112:J131" si="10">ROUND(F112*G112*H112*I112,-3)</f>
        <v>73550000</v>
      </c>
      <c r="K112" s="39">
        <f t="shared" si="9"/>
        <v>73550000</v>
      </c>
      <c r="L112" s="261">
        <f t="shared" si="6"/>
        <v>0</v>
      </c>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14"/>
      <c r="IC112" s="14"/>
      <c r="ID112" s="14"/>
      <c r="IE112" s="14"/>
      <c r="IF112" s="14"/>
      <c r="IG112" s="14"/>
      <c r="IH112" s="14"/>
      <c r="II112" s="14"/>
      <c r="IJ112" s="14"/>
      <c r="IK112" s="14"/>
      <c r="IL112" s="14"/>
      <c r="IM112" s="14"/>
      <c r="IN112" s="14"/>
      <c r="IO112" s="14"/>
      <c r="IP112" s="14"/>
      <c r="IQ112" s="14"/>
      <c r="IR112" s="14"/>
      <c r="IS112" s="14"/>
      <c r="IT112" s="14"/>
      <c r="IU112" s="14"/>
      <c r="IV112" s="14"/>
    </row>
    <row r="113" spans="1:256" s="290" customFormat="1" ht="41.25" customHeight="1" x14ac:dyDescent="0.3">
      <c r="A113" s="69"/>
      <c r="B113" s="8"/>
      <c r="C113" s="82" t="s">
        <v>1464</v>
      </c>
      <c r="D113" s="269" t="s">
        <v>1463</v>
      </c>
      <c r="E113" s="27" t="s">
        <v>23</v>
      </c>
      <c r="F113" s="74">
        <f>4*3</f>
        <v>12</v>
      </c>
      <c r="G113" s="11">
        <v>5339001</v>
      </c>
      <c r="H113" s="355">
        <v>1</v>
      </c>
      <c r="I113" s="377">
        <v>1.1479999999999999</v>
      </c>
      <c r="J113" s="32">
        <f t="shared" si="10"/>
        <v>73550000</v>
      </c>
      <c r="K113" s="39">
        <f t="shared" si="9"/>
        <v>73550000</v>
      </c>
      <c r="L113" s="261">
        <f t="shared" si="6"/>
        <v>0</v>
      </c>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14"/>
      <c r="IC113" s="14"/>
      <c r="ID113" s="14"/>
      <c r="IE113" s="14"/>
      <c r="IF113" s="14"/>
      <c r="IG113" s="14"/>
      <c r="IH113" s="14"/>
      <c r="II113" s="14"/>
      <c r="IJ113" s="14"/>
      <c r="IK113" s="14"/>
      <c r="IL113" s="14"/>
      <c r="IM113" s="14"/>
      <c r="IN113" s="14"/>
      <c r="IO113" s="14"/>
      <c r="IP113" s="14"/>
      <c r="IQ113" s="14"/>
      <c r="IR113" s="14"/>
      <c r="IS113" s="14"/>
      <c r="IT113" s="14"/>
      <c r="IU113" s="14"/>
      <c r="IV113" s="14"/>
    </row>
    <row r="114" spans="1:256" s="290" customFormat="1" ht="41.25" customHeight="1" x14ac:dyDescent="0.3">
      <c r="A114" s="69"/>
      <c r="B114" s="8"/>
      <c r="C114" s="82" t="s">
        <v>1465</v>
      </c>
      <c r="D114" s="270" t="s">
        <v>562</v>
      </c>
      <c r="E114" s="71" t="s">
        <v>23</v>
      </c>
      <c r="F114" s="74">
        <f>6*4.4</f>
        <v>26.400000000000002</v>
      </c>
      <c r="G114" s="29">
        <v>577000</v>
      </c>
      <c r="H114" s="355">
        <v>1</v>
      </c>
      <c r="I114" s="354">
        <v>1.1479999999999999</v>
      </c>
      <c r="J114" s="32">
        <f t="shared" si="10"/>
        <v>17487000</v>
      </c>
      <c r="K114" s="39">
        <f t="shared" si="9"/>
        <v>17487000</v>
      </c>
      <c r="L114" s="261">
        <f t="shared" si="6"/>
        <v>0</v>
      </c>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14"/>
      <c r="IC114" s="14"/>
      <c r="ID114" s="14"/>
      <c r="IE114" s="14"/>
      <c r="IF114" s="14"/>
      <c r="IG114" s="14"/>
      <c r="IH114" s="14"/>
      <c r="II114" s="14"/>
      <c r="IJ114" s="14"/>
      <c r="IK114" s="14"/>
      <c r="IL114" s="14"/>
      <c r="IM114" s="14"/>
      <c r="IN114" s="14"/>
      <c r="IO114" s="14"/>
      <c r="IP114" s="14"/>
      <c r="IQ114" s="14"/>
      <c r="IR114" s="14"/>
      <c r="IS114" s="14"/>
      <c r="IT114" s="14"/>
      <c r="IU114" s="14"/>
      <c r="IV114" s="14"/>
    </row>
    <row r="115" spans="1:256" s="290" customFormat="1" ht="42" customHeight="1" x14ac:dyDescent="0.3">
      <c r="A115" s="69"/>
      <c r="B115" s="8"/>
      <c r="C115" s="82" t="s">
        <v>1466</v>
      </c>
      <c r="D115" s="270" t="s">
        <v>101</v>
      </c>
      <c r="E115" s="71" t="s">
        <v>23</v>
      </c>
      <c r="F115" s="74">
        <f>5*4.4</f>
        <v>22</v>
      </c>
      <c r="G115" s="29">
        <v>339000</v>
      </c>
      <c r="H115" s="355">
        <v>1</v>
      </c>
      <c r="I115" s="354">
        <v>1.1479999999999999</v>
      </c>
      <c r="J115" s="32">
        <f t="shared" si="10"/>
        <v>8562000</v>
      </c>
      <c r="K115" s="39">
        <f t="shared" si="9"/>
        <v>8562000</v>
      </c>
      <c r="L115" s="261">
        <f t="shared" si="6"/>
        <v>0</v>
      </c>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c r="DQ115" s="14"/>
      <c r="DR115" s="14"/>
      <c r="DS115" s="14"/>
      <c r="DT115" s="14"/>
      <c r="DU115" s="14"/>
      <c r="DV115" s="14"/>
      <c r="DW115" s="14"/>
      <c r="DX115" s="14"/>
      <c r="DY115" s="14"/>
      <c r="DZ115" s="14"/>
      <c r="EA115" s="14"/>
      <c r="EB115" s="14"/>
      <c r="EC115" s="14"/>
      <c r="ED115" s="14"/>
      <c r="EE115" s="14"/>
      <c r="EF115" s="14"/>
      <c r="EG115" s="14"/>
      <c r="EH115" s="14"/>
      <c r="EI115" s="14"/>
      <c r="EJ115" s="14"/>
      <c r="EK115" s="14"/>
      <c r="EL115" s="14"/>
      <c r="EM115" s="14"/>
      <c r="EN115" s="14"/>
      <c r="EO115" s="14"/>
      <c r="EP115" s="14"/>
      <c r="EQ115" s="14"/>
      <c r="ER115" s="14"/>
      <c r="ES115" s="14"/>
      <c r="ET115" s="14"/>
      <c r="EU115" s="14"/>
      <c r="EV115" s="14"/>
      <c r="EW115" s="14"/>
      <c r="EX115" s="14"/>
      <c r="EY115" s="14"/>
      <c r="EZ115" s="14"/>
      <c r="FA115" s="14"/>
      <c r="FB115" s="14"/>
      <c r="FC115" s="14"/>
      <c r="FD115" s="14"/>
      <c r="FE115" s="14"/>
      <c r="FF115" s="14"/>
      <c r="FG115" s="14"/>
      <c r="FH115" s="14"/>
      <c r="FI115" s="14"/>
      <c r="FJ115" s="14"/>
      <c r="FK115" s="14"/>
      <c r="FL115" s="14"/>
      <c r="FM115" s="14"/>
      <c r="FN115" s="14"/>
      <c r="FO115" s="14"/>
      <c r="FP115" s="14"/>
      <c r="FQ115" s="14"/>
      <c r="FR115" s="14"/>
      <c r="FS115" s="14"/>
      <c r="FT115" s="14"/>
      <c r="FU115" s="14"/>
      <c r="FV115" s="14"/>
      <c r="FW115" s="14"/>
      <c r="FX115" s="14"/>
      <c r="FY115" s="14"/>
      <c r="FZ115" s="14"/>
      <c r="GA115" s="14"/>
      <c r="GB115" s="14"/>
      <c r="GC115" s="14"/>
      <c r="GD115" s="14"/>
      <c r="GE115" s="14"/>
      <c r="GF115" s="14"/>
      <c r="GG115" s="14"/>
      <c r="GH115" s="14"/>
      <c r="GI115" s="14"/>
      <c r="GJ115" s="14"/>
      <c r="GK115" s="14"/>
      <c r="GL115" s="14"/>
      <c r="GM115" s="14"/>
      <c r="GN115" s="14"/>
      <c r="GO115" s="14"/>
      <c r="GP115" s="14"/>
      <c r="GQ115" s="14"/>
      <c r="GR115" s="14"/>
      <c r="GS115" s="14"/>
      <c r="GT115" s="14"/>
      <c r="GU115" s="14"/>
      <c r="GV115" s="14"/>
      <c r="GW115" s="14"/>
      <c r="GX115" s="14"/>
      <c r="GY115" s="14"/>
      <c r="GZ115" s="14"/>
      <c r="HA115" s="14"/>
      <c r="HB115" s="14"/>
      <c r="HC115" s="14"/>
      <c r="HD115" s="14"/>
      <c r="HE115" s="14"/>
      <c r="HF115" s="14"/>
      <c r="HG115" s="14"/>
      <c r="HH115" s="14"/>
      <c r="HI115" s="14"/>
      <c r="HJ115" s="14"/>
      <c r="HK115" s="14"/>
      <c r="HL115" s="14"/>
      <c r="HM115" s="14"/>
      <c r="HN115" s="14"/>
      <c r="HO115" s="14"/>
      <c r="HP115" s="14"/>
      <c r="HQ115" s="14"/>
      <c r="HR115" s="14"/>
      <c r="HS115" s="14"/>
      <c r="HT115" s="14"/>
      <c r="HU115" s="14"/>
      <c r="HV115" s="14"/>
      <c r="HW115" s="14"/>
      <c r="HX115" s="14"/>
      <c r="HY115" s="14"/>
      <c r="HZ115" s="14"/>
      <c r="IA115" s="14"/>
      <c r="IB115" s="14"/>
      <c r="IC115" s="14"/>
      <c r="ID115" s="14"/>
      <c r="IE115" s="14"/>
      <c r="IF115" s="14"/>
      <c r="IG115" s="14"/>
      <c r="IH115" s="14"/>
      <c r="II115" s="14"/>
      <c r="IJ115" s="14"/>
      <c r="IK115" s="14"/>
      <c r="IL115" s="14"/>
      <c r="IM115" s="14"/>
      <c r="IN115" s="14"/>
      <c r="IO115" s="14"/>
      <c r="IP115" s="14"/>
      <c r="IQ115" s="14"/>
      <c r="IR115" s="14"/>
      <c r="IS115" s="14"/>
      <c r="IT115" s="14"/>
      <c r="IU115" s="14"/>
      <c r="IV115" s="14"/>
    </row>
    <row r="116" spans="1:256" s="290" customFormat="1" ht="42" customHeight="1" x14ac:dyDescent="0.3">
      <c r="A116" s="69"/>
      <c r="B116" s="8"/>
      <c r="C116" s="82" t="s">
        <v>1467</v>
      </c>
      <c r="D116" s="267" t="s">
        <v>161</v>
      </c>
      <c r="E116" s="71" t="s">
        <v>23</v>
      </c>
      <c r="F116" s="74">
        <f>3.6*3</f>
        <v>10.8</v>
      </c>
      <c r="G116" s="11">
        <v>396000</v>
      </c>
      <c r="H116" s="355">
        <v>1</v>
      </c>
      <c r="I116" s="354">
        <v>1.1479999999999999</v>
      </c>
      <c r="J116" s="32">
        <f t="shared" si="10"/>
        <v>4910000</v>
      </c>
      <c r="K116" s="39">
        <f t="shared" si="9"/>
        <v>4910000</v>
      </c>
      <c r="L116" s="261">
        <f t="shared" si="6"/>
        <v>0</v>
      </c>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4"/>
      <c r="EV116" s="14"/>
      <c r="EW116" s="14"/>
      <c r="EX116" s="14"/>
      <c r="EY116" s="14"/>
      <c r="EZ116" s="14"/>
      <c r="FA116" s="14"/>
      <c r="FB116" s="14"/>
      <c r="FC116" s="14"/>
      <c r="FD116" s="14"/>
      <c r="FE116" s="14"/>
      <c r="FF116" s="14"/>
      <c r="FG116" s="14"/>
      <c r="FH116" s="14"/>
      <c r="FI116" s="14"/>
      <c r="FJ116" s="14"/>
      <c r="FK116" s="14"/>
      <c r="FL116" s="14"/>
      <c r="FM116" s="14"/>
      <c r="FN116" s="14"/>
      <c r="FO116" s="14"/>
      <c r="FP116" s="14"/>
      <c r="FQ116" s="14"/>
      <c r="FR116" s="14"/>
      <c r="FS116" s="14"/>
      <c r="FT116" s="14"/>
      <c r="FU116" s="14"/>
      <c r="FV116" s="14"/>
      <c r="FW116" s="14"/>
      <c r="FX116" s="14"/>
      <c r="FY116" s="14"/>
      <c r="FZ116" s="14"/>
      <c r="GA116" s="14"/>
      <c r="GB116" s="14"/>
      <c r="GC116" s="14"/>
      <c r="GD116" s="14"/>
      <c r="GE116" s="14"/>
      <c r="GF116" s="14"/>
      <c r="GG116" s="14"/>
      <c r="GH116" s="14"/>
      <c r="GI116" s="14"/>
      <c r="GJ116" s="14"/>
      <c r="GK116" s="14"/>
      <c r="GL116" s="14"/>
      <c r="GM116" s="14"/>
      <c r="GN116" s="14"/>
      <c r="GO116" s="14"/>
      <c r="GP116" s="14"/>
      <c r="GQ116" s="14"/>
      <c r="GR116" s="14"/>
      <c r="GS116" s="14"/>
      <c r="GT116" s="14"/>
      <c r="GU116" s="14"/>
      <c r="GV116" s="14"/>
      <c r="GW116" s="14"/>
      <c r="GX116" s="14"/>
      <c r="GY116" s="14"/>
      <c r="GZ116" s="14"/>
      <c r="HA116" s="14"/>
      <c r="HB116" s="14"/>
      <c r="HC116" s="14"/>
      <c r="HD116" s="14"/>
      <c r="HE116" s="14"/>
      <c r="HF116" s="14"/>
      <c r="HG116" s="14"/>
      <c r="HH116" s="14"/>
      <c r="HI116" s="14"/>
      <c r="HJ116" s="14"/>
      <c r="HK116" s="14"/>
      <c r="HL116" s="14"/>
      <c r="HM116" s="14"/>
      <c r="HN116" s="14"/>
      <c r="HO116" s="14"/>
      <c r="HP116" s="14"/>
      <c r="HQ116" s="14"/>
      <c r="HR116" s="14"/>
      <c r="HS116" s="14"/>
      <c r="HT116" s="14"/>
      <c r="HU116" s="14"/>
      <c r="HV116" s="14"/>
      <c r="HW116" s="14"/>
      <c r="HX116" s="14"/>
      <c r="HY116" s="14"/>
      <c r="HZ116" s="14"/>
      <c r="IA116" s="14"/>
      <c r="IB116" s="14"/>
      <c r="IC116" s="14"/>
      <c r="ID116" s="14"/>
      <c r="IE116" s="14"/>
      <c r="IF116" s="14"/>
      <c r="IG116" s="14"/>
      <c r="IH116" s="14"/>
      <c r="II116" s="14"/>
      <c r="IJ116" s="14"/>
      <c r="IK116" s="14"/>
      <c r="IL116" s="14"/>
      <c r="IM116" s="14"/>
      <c r="IN116" s="14"/>
      <c r="IO116" s="14"/>
      <c r="IP116" s="14"/>
      <c r="IQ116" s="14"/>
      <c r="IR116" s="14"/>
      <c r="IS116" s="14"/>
      <c r="IT116" s="14"/>
      <c r="IU116" s="14"/>
      <c r="IV116" s="14"/>
    </row>
    <row r="117" spans="1:256" s="290" customFormat="1" ht="56.25" x14ac:dyDescent="0.3">
      <c r="A117" s="69"/>
      <c r="B117" s="8"/>
      <c r="C117" s="82" t="s">
        <v>1468</v>
      </c>
      <c r="D117" s="270" t="s">
        <v>66</v>
      </c>
      <c r="E117" s="71" t="s">
        <v>23</v>
      </c>
      <c r="F117" s="74">
        <f>0.15*8.1+2.3*3.6+2.7*0.6+3.8*1.2+10.6*0.12</f>
        <v>16.946999999999996</v>
      </c>
      <c r="G117" s="29">
        <v>339000</v>
      </c>
      <c r="H117" s="355">
        <v>1</v>
      </c>
      <c r="I117" s="354">
        <v>1.1479999999999999</v>
      </c>
      <c r="J117" s="32">
        <f t="shared" si="10"/>
        <v>6595000</v>
      </c>
      <c r="K117" s="39">
        <f t="shared" si="9"/>
        <v>6595000</v>
      </c>
      <c r="L117" s="261">
        <f t="shared" si="6"/>
        <v>0</v>
      </c>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c r="DQ117" s="14"/>
      <c r="DR117" s="14"/>
      <c r="DS117" s="14"/>
      <c r="DT117" s="14"/>
      <c r="DU117" s="14"/>
      <c r="DV117" s="14"/>
      <c r="DW117" s="14"/>
      <c r="DX117" s="14"/>
      <c r="DY117" s="14"/>
      <c r="DZ117" s="14"/>
      <c r="EA117" s="14"/>
      <c r="EB117" s="14"/>
      <c r="EC117" s="14"/>
      <c r="ED117" s="14"/>
      <c r="EE117" s="14"/>
      <c r="EF117" s="14"/>
      <c r="EG117" s="14"/>
      <c r="EH117" s="14"/>
      <c r="EI117" s="14"/>
      <c r="EJ117" s="14"/>
      <c r="EK117" s="14"/>
      <c r="EL117" s="14"/>
      <c r="EM117" s="14"/>
      <c r="EN117" s="14"/>
      <c r="EO117" s="14"/>
      <c r="EP117" s="14"/>
      <c r="EQ117" s="14"/>
      <c r="ER117" s="14"/>
      <c r="ES117" s="14"/>
      <c r="ET117" s="14"/>
      <c r="EU117" s="14"/>
      <c r="EV117" s="14"/>
      <c r="EW117" s="14"/>
      <c r="EX117" s="14"/>
      <c r="EY117" s="14"/>
      <c r="EZ117" s="14"/>
      <c r="FA117" s="14"/>
      <c r="FB117" s="14"/>
      <c r="FC117" s="14"/>
      <c r="FD117" s="14"/>
      <c r="FE117" s="14"/>
      <c r="FF117" s="14"/>
      <c r="FG117" s="14"/>
      <c r="FH117" s="14"/>
      <c r="FI117" s="14"/>
      <c r="FJ117" s="14"/>
      <c r="FK117" s="14"/>
      <c r="FL117" s="14"/>
      <c r="FM117" s="14"/>
      <c r="FN117" s="14"/>
      <c r="FO117" s="14"/>
      <c r="FP117" s="14"/>
      <c r="FQ117" s="14"/>
      <c r="FR117" s="14"/>
      <c r="FS117" s="14"/>
      <c r="FT117" s="14"/>
      <c r="FU117" s="14"/>
      <c r="FV117" s="14"/>
      <c r="FW117" s="14"/>
      <c r="FX117" s="14"/>
      <c r="FY117" s="14"/>
      <c r="FZ117" s="14"/>
      <c r="GA117" s="14"/>
      <c r="GB117" s="14"/>
      <c r="GC117" s="14"/>
      <c r="GD117" s="14"/>
      <c r="GE117" s="14"/>
      <c r="GF117" s="14"/>
      <c r="GG117" s="14"/>
      <c r="GH117" s="14"/>
      <c r="GI117" s="14"/>
      <c r="GJ117" s="14"/>
      <c r="GK117" s="14"/>
      <c r="GL117" s="14"/>
      <c r="GM117" s="14"/>
      <c r="GN117" s="14"/>
      <c r="GO117" s="14"/>
      <c r="GP117" s="14"/>
      <c r="GQ117" s="14"/>
      <c r="GR117" s="14"/>
      <c r="GS117" s="14"/>
      <c r="GT117" s="14"/>
      <c r="GU117" s="14"/>
      <c r="GV117" s="14"/>
      <c r="GW117" s="14"/>
      <c r="GX117" s="14"/>
      <c r="GY117" s="14"/>
      <c r="GZ117" s="14"/>
      <c r="HA117" s="14"/>
      <c r="HB117" s="14"/>
      <c r="HC117" s="14"/>
      <c r="HD117" s="14"/>
      <c r="HE117" s="14"/>
      <c r="HF117" s="14"/>
      <c r="HG117" s="14"/>
      <c r="HH117" s="14"/>
      <c r="HI117" s="14"/>
      <c r="HJ117" s="14"/>
      <c r="HK117" s="14"/>
      <c r="HL117" s="14"/>
      <c r="HM117" s="14"/>
      <c r="HN117" s="14"/>
      <c r="HO117" s="14"/>
      <c r="HP117" s="14"/>
      <c r="HQ117" s="14"/>
      <c r="HR117" s="14"/>
      <c r="HS117" s="14"/>
      <c r="HT117" s="14"/>
      <c r="HU117" s="14"/>
      <c r="HV117" s="14"/>
      <c r="HW117" s="14"/>
      <c r="HX117" s="14"/>
      <c r="HY117" s="14"/>
      <c r="HZ117" s="14"/>
      <c r="IA117" s="14"/>
      <c r="IB117" s="14"/>
      <c r="IC117" s="14"/>
      <c r="ID117" s="14"/>
      <c r="IE117" s="14"/>
      <c r="IF117" s="14"/>
      <c r="IG117" s="14"/>
      <c r="IH117" s="14"/>
      <c r="II117" s="14"/>
      <c r="IJ117" s="14"/>
      <c r="IK117" s="14"/>
      <c r="IL117" s="14"/>
      <c r="IM117" s="14"/>
      <c r="IN117" s="14"/>
      <c r="IO117" s="14"/>
      <c r="IP117" s="14"/>
      <c r="IQ117" s="14"/>
      <c r="IR117" s="14"/>
      <c r="IS117" s="14"/>
      <c r="IT117" s="14"/>
      <c r="IU117" s="14"/>
      <c r="IV117" s="14"/>
    </row>
    <row r="118" spans="1:256" s="290" customFormat="1" ht="42" customHeight="1" x14ac:dyDescent="0.3">
      <c r="A118" s="69"/>
      <c r="B118" s="8"/>
      <c r="C118" s="82" t="s">
        <v>1469</v>
      </c>
      <c r="D118" s="270" t="s">
        <v>29</v>
      </c>
      <c r="E118" s="96" t="s">
        <v>91</v>
      </c>
      <c r="F118" s="74">
        <f>3.5*1.9</f>
        <v>6.6499999999999995</v>
      </c>
      <c r="G118" s="29">
        <v>792000</v>
      </c>
      <c r="H118" s="355">
        <v>1</v>
      </c>
      <c r="I118" s="151">
        <v>1.1479999999999999</v>
      </c>
      <c r="J118" s="32">
        <f t="shared" si="10"/>
        <v>6046000</v>
      </c>
      <c r="K118" s="39">
        <f t="shared" si="9"/>
        <v>6046000</v>
      </c>
      <c r="L118" s="261">
        <f t="shared" si="6"/>
        <v>0</v>
      </c>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c r="DQ118" s="14"/>
      <c r="DR118" s="14"/>
      <c r="DS118" s="14"/>
      <c r="DT118" s="14"/>
      <c r="DU118" s="14"/>
      <c r="DV118" s="14"/>
      <c r="DW118" s="14"/>
      <c r="DX118" s="14"/>
      <c r="DY118" s="14"/>
      <c r="DZ118" s="14"/>
      <c r="EA118" s="14"/>
      <c r="EB118" s="14"/>
      <c r="EC118" s="14"/>
      <c r="ED118" s="14"/>
      <c r="EE118" s="14"/>
      <c r="EF118" s="14"/>
      <c r="EG118" s="14"/>
      <c r="EH118" s="14"/>
      <c r="EI118" s="14"/>
      <c r="EJ118" s="14"/>
      <c r="EK118" s="14"/>
      <c r="EL118" s="14"/>
      <c r="EM118" s="14"/>
      <c r="EN118" s="14"/>
      <c r="EO118" s="14"/>
      <c r="EP118" s="14"/>
      <c r="EQ118" s="14"/>
      <c r="ER118" s="14"/>
      <c r="ES118" s="14"/>
      <c r="ET118" s="14"/>
      <c r="EU118" s="14"/>
      <c r="EV118" s="14"/>
      <c r="EW118" s="14"/>
      <c r="EX118" s="14"/>
      <c r="EY118" s="14"/>
      <c r="EZ118" s="14"/>
      <c r="FA118" s="14"/>
      <c r="FB118" s="14"/>
      <c r="FC118" s="14"/>
      <c r="FD118" s="14"/>
      <c r="FE118" s="14"/>
      <c r="FF118" s="14"/>
      <c r="FG118" s="14"/>
      <c r="FH118" s="14"/>
      <c r="FI118" s="14"/>
      <c r="FJ118" s="14"/>
      <c r="FK118" s="14"/>
      <c r="FL118" s="14"/>
      <c r="FM118" s="14"/>
      <c r="FN118" s="14"/>
      <c r="FO118" s="14"/>
      <c r="FP118" s="14"/>
      <c r="FQ118" s="14"/>
      <c r="FR118" s="14"/>
      <c r="FS118" s="14"/>
      <c r="FT118" s="14"/>
      <c r="FU118" s="14"/>
      <c r="FV118" s="14"/>
      <c r="FW118" s="14"/>
      <c r="FX118" s="14"/>
      <c r="FY118" s="14"/>
      <c r="FZ118" s="14"/>
      <c r="GA118" s="14"/>
      <c r="GB118" s="14"/>
      <c r="GC118" s="14"/>
      <c r="GD118" s="14"/>
      <c r="GE118" s="14"/>
      <c r="GF118" s="14"/>
      <c r="GG118" s="14"/>
      <c r="GH118" s="14"/>
      <c r="GI118" s="14"/>
      <c r="GJ118" s="14"/>
      <c r="GK118" s="14"/>
      <c r="GL118" s="14"/>
      <c r="GM118" s="14"/>
      <c r="GN118" s="14"/>
      <c r="GO118" s="14"/>
      <c r="GP118" s="14"/>
      <c r="GQ118" s="14"/>
      <c r="GR118" s="14"/>
      <c r="GS118" s="14"/>
      <c r="GT118" s="14"/>
      <c r="GU118" s="14"/>
      <c r="GV118" s="14"/>
      <c r="GW118" s="14"/>
      <c r="GX118" s="14"/>
      <c r="GY118" s="14"/>
      <c r="GZ118" s="14"/>
      <c r="HA118" s="14"/>
      <c r="HB118" s="14"/>
      <c r="HC118" s="14"/>
      <c r="HD118" s="14"/>
      <c r="HE118" s="14"/>
      <c r="HF118" s="14"/>
      <c r="HG118" s="14"/>
      <c r="HH118" s="14"/>
      <c r="HI118" s="14"/>
      <c r="HJ118" s="14"/>
      <c r="HK118" s="14"/>
      <c r="HL118" s="14"/>
      <c r="HM118" s="14"/>
      <c r="HN118" s="14"/>
      <c r="HO118" s="14"/>
      <c r="HP118" s="14"/>
      <c r="HQ118" s="14"/>
      <c r="HR118" s="14"/>
      <c r="HS118" s="14"/>
      <c r="HT118" s="14"/>
      <c r="HU118" s="14"/>
      <c r="HV118" s="14"/>
      <c r="HW118" s="14"/>
      <c r="HX118" s="14"/>
      <c r="HY118" s="14"/>
      <c r="HZ118" s="14"/>
      <c r="IA118" s="14"/>
      <c r="IB118" s="14"/>
      <c r="IC118" s="14"/>
      <c r="ID118" s="14"/>
      <c r="IE118" s="14"/>
      <c r="IF118" s="14"/>
      <c r="IG118" s="14"/>
      <c r="IH118" s="14"/>
      <c r="II118" s="14"/>
      <c r="IJ118" s="14"/>
      <c r="IK118" s="14"/>
      <c r="IL118" s="14"/>
      <c r="IM118" s="14"/>
      <c r="IN118" s="14"/>
      <c r="IO118" s="14"/>
      <c r="IP118" s="14"/>
      <c r="IQ118" s="14"/>
      <c r="IR118" s="14"/>
      <c r="IS118" s="14"/>
      <c r="IT118" s="14"/>
      <c r="IU118" s="14"/>
      <c r="IV118" s="14"/>
    </row>
    <row r="119" spans="1:256" s="290" customFormat="1" ht="42" customHeight="1" x14ac:dyDescent="0.3">
      <c r="A119" s="69"/>
      <c r="B119" s="8"/>
      <c r="C119" s="82" t="s">
        <v>1470</v>
      </c>
      <c r="D119" s="269" t="s">
        <v>1471</v>
      </c>
      <c r="E119" s="96" t="s">
        <v>91</v>
      </c>
      <c r="F119" s="74">
        <f>3*0.3</f>
        <v>0.89999999999999991</v>
      </c>
      <c r="G119" s="11">
        <v>453000</v>
      </c>
      <c r="H119" s="355">
        <v>1</v>
      </c>
      <c r="I119" s="354">
        <v>1.1479999999999999</v>
      </c>
      <c r="J119" s="32">
        <f t="shared" si="10"/>
        <v>468000</v>
      </c>
      <c r="K119" s="39">
        <f t="shared" si="9"/>
        <v>468000</v>
      </c>
      <c r="L119" s="261">
        <f t="shared" si="6"/>
        <v>0</v>
      </c>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c r="DQ119" s="14"/>
      <c r="DR119" s="14"/>
      <c r="DS119" s="14"/>
      <c r="DT119" s="14"/>
      <c r="DU119" s="14"/>
      <c r="DV119" s="14"/>
      <c r="DW119" s="14"/>
      <c r="DX119" s="14"/>
      <c r="DY119" s="14"/>
      <c r="DZ119" s="14"/>
      <c r="EA119" s="14"/>
      <c r="EB119" s="14"/>
      <c r="EC119" s="14"/>
      <c r="ED119" s="14"/>
      <c r="EE119" s="14"/>
      <c r="EF119" s="14"/>
      <c r="EG119" s="14"/>
      <c r="EH119" s="14"/>
      <c r="EI119" s="14"/>
      <c r="EJ119" s="14"/>
      <c r="EK119" s="14"/>
      <c r="EL119" s="14"/>
      <c r="EM119" s="14"/>
      <c r="EN119" s="14"/>
      <c r="EO119" s="14"/>
      <c r="EP119" s="14"/>
      <c r="EQ119" s="14"/>
      <c r="ER119" s="14"/>
      <c r="ES119" s="14"/>
      <c r="ET119" s="14"/>
      <c r="EU119" s="14"/>
      <c r="EV119" s="14"/>
      <c r="EW119" s="14"/>
      <c r="EX119" s="14"/>
      <c r="EY119" s="14"/>
      <c r="EZ119" s="14"/>
      <c r="FA119" s="14"/>
      <c r="FB119" s="14"/>
      <c r="FC119" s="14"/>
      <c r="FD119" s="14"/>
      <c r="FE119" s="14"/>
      <c r="FF119" s="14"/>
      <c r="FG119" s="14"/>
      <c r="FH119" s="14"/>
      <c r="FI119" s="14"/>
      <c r="FJ119" s="14"/>
      <c r="FK119" s="14"/>
      <c r="FL119" s="14"/>
      <c r="FM119" s="14"/>
      <c r="FN119" s="14"/>
      <c r="FO119" s="14"/>
      <c r="FP119" s="14"/>
      <c r="FQ119" s="14"/>
      <c r="FR119" s="14"/>
      <c r="FS119" s="14"/>
      <c r="FT119" s="14"/>
      <c r="FU119" s="14"/>
      <c r="FV119" s="14"/>
      <c r="FW119" s="14"/>
      <c r="FX119" s="14"/>
      <c r="FY119" s="14"/>
      <c r="FZ119" s="14"/>
      <c r="GA119" s="14"/>
      <c r="GB119" s="14"/>
      <c r="GC119" s="14"/>
      <c r="GD119" s="14"/>
      <c r="GE119" s="14"/>
      <c r="GF119" s="14"/>
      <c r="GG119" s="14"/>
      <c r="GH119" s="14"/>
      <c r="GI119" s="14"/>
      <c r="GJ119" s="14"/>
      <c r="GK119" s="14"/>
      <c r="GL119" s="14"/>
      <c r="GM119" s="14"/>
      <c r="GN119" s="14"/>
      <c r="GO119" s="14"/>
      <c r="GP119" s="14"/>
      <c r="GQ119" s="14"/>
      <c r="GR119" s="14"/>
      <c r="GS119" s="14"/>
      <c r="GT119" s="14"/>
      <c r="GU119" s="14"/>
      <c r="GV119" s="14"/>
      <c r="GW119" s="14"/>
      <c r="GX119" s="14"/>
      <c r="GY119" s="14"/>
      <c r="GZ119" s="14"/>
      <c r="HA119" s="14"/>
      <c r="HB119" s="14"/>
      <c r="HC119" s="14"/>
      <c r="HD119" s="14"/>
      <c r="HE119" s="14"/>
      <c r="HF119" s="14"/>
      <c r="HG119" s="14"/>
      <c r="HH119" s="14"/>
      <c r="HI119" s="14"/>
      <c r="HJ119" s="14"/>
      <c r="HK119" s="14"/>
      <c r="HL119" s="14"/>
      <c r="HM119" s="14"/>
      <c r="HN119" s="14"/>
      <c r="HO119" s="14"/>
      <c r="HP119" s="14"/>
      <c r="HQ119" s="14"/>
      <c r="HR119" s="14"/>
      <c r="HS119" s="14"/>
      <c r="HT119" s="14"/>
      <c r="HU119" s="14"/>
      <c r="HV119" s="14"/>
      <c r="HW119" s="14"/>
      <c r="HX119" s="14"/>
      <c r="HY119" s="14"/>
      <c r="HZ119" s="14"/>
      <c r="IA119" s="14"/>
      <c r="IB119" s="14"/>
      <c r="IC119" s="14"/>
      <c r="ID119" s="14"/>
      <c r="IE119" s="14"/>
      <c r="IF119" s="14"/>
      <c r="IG119" s="14"/>
      <c r="IH119" s="14"/>
      <c r="II119" s="14"/>
      <c r="IJ119" s="14"/>
      <c r="IK119" s="14"/>
      <c r="IL119" s="14"/>
      <c r="IM119" s="14"/>
      <c r="IN119" s="14"/>
      <c r="IO119" s="14"/>
      <c r="IP119" s="14"/>
      <c r="IQ119" s="14"/>
      <c r="IR119" s="14"/>
      <c r="IS119" s="14"/>
      <c r="IT119" s="14"/>
      <c r="IU119" s="14"/>
      <c r="IV119" s="14"/>
    </row>
    <row r="120" spans="1:256" s="290" customFormat="1" ht="38.25" x14ac:dyDescent="0.3">
      <c r="A120" s="69"/>
      <c r="B120" s="8"/>
      <c r="C120" s="82" t="s">
        <v>1472</v>
      </c>
      <c r="D120" s="267" t="s">
        <v>56</v>
      </c>
      <c r="E120" s="71" t="s">
        <v>23</v>
      </c>
      <c r="F120" s="74">
        <f>4.9*3.6</f>
        <v>17.64</v>
      </c>
      <c r="G120" s="29">
        <v>735000</v>
      </c>
      <c r="H120" s="355">
        <v>1</v>
      </c>
      <c r="I120" s="408">
        <v>1.1479999999999999</v>
      </c>
      <c r="J120" s="32">
        <f t="shared" si="10"/>
        <v>14884000</v>
      </c>
      <c r="K120" s="39">
        <f t="shared" si="9"/>
        <v>14884000</v>
      </c>
      <c r="L120" s="261">
        <f t="shared" si="6"/>
        <v>0</v>
      </c>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4"/>
      <c r="ER120" s="14"/>
      <c r="ES120" s="14"/>
      <c r="ET120" s="14"/>
      <c r="EU120" s="14"/>
      <c r="EV120" s="14"/>
      <c r="EW120" s="14"/>
      <c r="EX120" s="14"/>
      <c r="EY120" s="14"/>
      <c r="EZ120" s="14"/>
      <c r="FA120" s="14"/>
      <c r="FB120" s="14"/>
      <c r="FC120" s="14"/>
      <c r="FD120" s="14"/>
      <c r="FE120" s="14"/>
      <c r="FF120" s="14"/>
      <c r="FG120" s="14"/>
      <c r="FH120" s="14"/>
      <c r="FI120" s="14"/>
      <c r="FJ120" s="14"/>
      <c r="FK120" s="14"/>
      <c r="FL120" s="14"/>
      <c r="FM120" s="14"/>
      <c r="FN120" s="14"/>
      <c r="FO120" s="14"/>
      <c r="FP120" s="14"/>
      <c r="FQ120" s="14"/>
      <c r="FR120" s="14"/>
      <c r="FS120" s="14"/>
      <c r="FT120" s="14"/>
      <c r="FU120" s="14"/>
      <c r="FV120" s="14"/>
      <c r="FW120" s="14"/>
      <c r="FX120" s="14"/>
      <c r="FY120" s="14"/>
      <c r="FZ120" s="14"/>
      <c r="GA120" s="14"/>
      <c r="GB120" s="14"/>
      <c r="GC120" s="14"/>
      <c r="GD120" s="14"/>
      <c r="GE120" s="14"/>
      <c r="GF120" s="14"/>
      <c r="GG120" s="14"/>
      <c r="GH120" s="14"/>
      <c r="GI120" s="14"/>
      <c r="GJ120" s="14"/>
      <c r="GK120" s="14"/>
      <c r="GL120" s="14"/>
      <c r="GM120" s="14"/>
      <c r="GN120" s="14"/>
      <c r="GO120" s="14"/>
      <c r="GP120" s="14"/>
      <c r="GQ120" s="14"/>
      <c r="GR120" s="14"/>
      <c r="GS120" s="14"/>
      <c r="GT120" s="14"/>
      <c r="GU120" s="14"/>
      <c r="GV120" s="14"/>
      <c r="GW120" s="14"/>
      <c r="GX120" s="14"/>
      <c r="GY120" s="14"/>
      <c r="GZ120" s="14"/>
      <c r="HA120" s="14"/>
      <c r="HB120" s="14"/>
      <c r="HC120" s="14"/>
      <c r="HD120" s="14"/>
      <c r="HE120" s="14"/>
      <c r="HF120" s="14"/>
      <c r="HG120" s="14"/>
      <c r="HH120" s="14"/>
      <c r="HI120" s="14"/>
      <c r="HJ120" s="14"/>
      <c r="HK120" s="14"/>
      <c r="HL120" s="14"/>
      <c r="HM120" s="14"/>
      <c r="HN120" s="14"/>
      <c r="HO120" s="14"/>
      <c r="HP120" s="14"/>
      <c r="HQ120" s="14"/>
      <c r="HR120" s="14"/>
      <c r="HS120" s="14"/>
      <c r="HT120" s="14"/>
      <c r="HU120" s="14"/>
      <c r="HV120" s="14"/>
      <c r="HW120" s="14"/>
      <c r="HX120" s="14"/>
      <c r="HY120" s="14"/>
      <c r="HZ120" s="14"/>
      <c r="IA120" s="14"/>
      <c r="IB120" s="14"/>
      <c r="IC120" s="14"/>
      <c r="ID120" s="14"/>
      <c r="IE120" s="14"/>
      <c r="IF120" s="14"/>
      <c r="IG120" s="14"/>
      <c r="IH120" s="14"/>
      <c r="II120" s="14"/>
      <c r="IJ120" s="14"/>
      <c r="IK120" s="14"/>
      <c r="IL120" s="14"/>
      <c r="IM120" s="14"/>
      <c r="IN120" s="14"/>
      <c r="IO120" s="14"/>
      <c r="IP120" s="14"/>
      <c r="IQ120" s="14"/>
      <c r="IR120" s="14"/>
      <c r="IS120" s="14"/>
      <c r="IT120" s="14"/>
      <c r="IU120" s="14"/>
      <c r="IV120" s="14"/>
    </row>
    <row r="121" spans="1:256" s="290" customFormat="1" ht="43.5" customHeight="1" x14ac:dyDescent="0.3">
      <c r="A121" s="69"/>
      <c r="B121" s="8"/>
      <c r="C121" s="82" t="s">
        <v>1473</v>
      </c>
      <c r="D121" s="269" t="s">
        <v>1474</v>
      </c>
      <c r="E121" s="96" t="s">
        <v>91</v>
      </c>
      <c r="F121" s="74">
        <f>1.2*4</f>
        <v>4.8</v>
      </c>
      <c r="G121" s="11">
        <v>4735000</v>
      </c>
      <c r="H121" s="355">
        <v>1</v>
      </c>
      <c r="I121" s="354">
        <v>1.1479999999999999</v>
      </c>
      <c r="J121" s="32">
        <f t="shared" si="10"/>
        <v>26092000</v>
      </c>
      <c r="K121" s="39">
        <f t="shared" si="9"/>
        <v>26092000</v>
      </c>
      <c r="L121" s="261">
        <f t="shared" si="6"/>
        <v>0</v>
      </c>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c r="GU121" s="14"/>
      <c r="GV121" s="14"/>
      <c r="GW121" s="14"/>
      <c r="GX121" s="14"/>
      <c r="GY121" s="14"/>
      <c r="GZ121" s="14"/>
      <c r="HA121" s="14"/>
      <c r="HB121" s="14"/>
      <c r="HC121" s="14"/>
      <c r="HD121" s="14"/>
      <c r="HE121" s="14"/>
      <c r="HF121" s="14"/>
      <c r="HG121" s="14"/>
      <c r="HH121" s="14"/>
      <c r="HI121" s="14"/>
      <c r="HJ121" s="14"/>
      <c r="HK121" s="14"/>
      <c r="HL121" s="14"/>
      <c r="HM121" s="14"/>
      <c r="HN121" s="14"/>
      <c r="HO121" s="14"/>
      <c r="HP121" s="14"/>
      <c r="HQ121" s="14"/>
      <c r="HR121" s="14"/>
      <c r="HS121" s="14"/>
      <c r="HT121" s="14"/>
      <c r="HU121" s="14"/>
      <c r="HV121" s="14"/>
      <c r="HW121" s="14"/>
      <c r="HX121" s="14"/>
      <c r="HY121" s="14"/>
      <c r="HZ121" s="14"/>
      <c r="IA121" s="14"/>
      <c r="IB121" s="14"/>
      <c r="IC121" s="14"/>
      <c r="ID121" s="14"/>
      <c r="IE121" s="14"/>
      <c r="IF121" s="14"/>
      <c r="IG121" s="14"/>
      <c r="IH121" s="14"/>
      <c r="II121" s="14"/>
      <c r="IJ121" s="14"/>
      <c r="IK121" s="14"/>
      <c r="IL121" s="14"/>
      <c r="IM121" s="14"/>
      <c r="IN121" s="14"/>
      <c r="IO121" s="14"/>
      <c r="IP121" s="14"/>
      <c r="IQ121" s="14"/>
      <c r="IR121" s="14"/>
      <c r="IS121" s="14"/>
      <c r="IT121" s="14"/>
      <c r="IU121" s="14"/>
      <c r="IV121" s="14"/>
    </row>
    <row r="122" spans="1:256" s="290" customFormat="1" ht="36.75" customHeight="1" x14ac:dyDescent="0.3">
      <c r="A122" s="69"/>
      <c r="B122" s="8"/>
      <c r="C122" s="82" t="s">
        <v>1475</v>
      </c>
      <c r="D122" s="271" t="s">
        <v>32</v>
      </c>
      <c r="E122" s="71" t="s">
        <v>23</v>
      </c>
      <c r="F122" s="74">
        <f>6*4.4</f>
        <v>26.400000000000002</v>
      </c>
      <c r="G122" s="29">
        <v>215000</v>
      </c>
      <c r="H122" s="355">
        <v>0.8</v>
      </c>
      <c r="I122" s="151">
        <v>1.1479999999999999</v>
      </c>
      <c r="J122" s="32">
        <f t="shared" si="10"/>
        <v>5213000</v>
      </c>
      <c r="K122" s="39">
        <f t="shared" si="9"/>
        <v>5213000</v>
      </c>
      <c r="L122" s="261">
        <f t="shared" si="6"/>
        <v>0</v>
      </c>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c r="DQ122" s="14"/>
      <c r="DR122" s="14"/>
      <c r="DS122" s="14"/>
      <c r="DT122" s="14"/>
      <c r="DU122" s="14"/>
      <c r="DV122" s="14"/>
      <c r="DW122" s="14"/>
      <c r="DX122" s="14"/>
      <c r="DY122" s="14"/>
      <c r="DZ122" s="14"/>
      <c r="EA122" s="14"/>
      <c r="EB122" s="14"/>
      <c r="EC122" s="14"/>
      <c r="ED122" s="14"/>
      <c r="EE122" s="14"/>
      <c r="EF122" s="14"/>
      <c r="EG122" s="14"/>
      <c r="EH122" s="14"/>
      <c r="EI122" s="14"/>
      <c r="EJ122" s="14"/>
      <c r="EK122" s="14"/>
      <c r="EL122" s="14"/>
      <c r="EM122" s="14"/>
      <c r="EN122" s="14"/>
      <c r="EO122" s="14"/>
      <c r="EP122" s="14"/>
      <c r="EQ122" s="14"/>
      <c r="ER122" s="14"/>
      <c r="ES122" s="14"/>
      <c r="ET122" s="14"/>
      <c r="EU122" s="14"/>
      <c r="EV122" s="14"/>
      <c r="EW122" s="14"/>
      <c r="EX122" s="14"/>
      <c r="EY122" s="14"/>
      <c r="EZ122" s="14"/>
      <c r="FA122" s="14"/>
      <c r="FB122" s="14"/>
      <c r="FC122" s="14"/>
      <c r="FD122" s="14"/>
      <c r="FE122" s="14"/>
      <c r="FF122" s="14"/>
      <c r="FG122" s="14"/>
      <c r="FH122" s="14"/>
      <c r="FI122" s="14"/>
      <c r="FJ122" s="14"/>
      <c r="FK122" s="14"/>
      <c r="FL122" s="14"/>
      <c r="FM122" s="14"/>
      <c r="FN122" s="14"/>
      <c r="FO122" s="14"/>
      <c r="FP122" s="14"/>
      <c r="FQ122" s="14"/>
      <c r="FR122" s="14"/>
      <c r="FS122" s="14"/>
      <c r="FT122" s="14"/>
      <c r="FU122" s="14"/>
      <c r="FV122" s="14"/>
      <c r="FW122" s="14"/>
      <c r="FX122" s="14"/>
      <c r="FY122" s="14"/>
      <c r="FZ122" s="14"/>
      <c r="GA122" s="14"/>
      <c r="GB122" s="14"/>
      <c r="GC122" s="14"/>
      <c r="GD122" s="14"/>
      <c r="GE122" s="14"/>
      <c r="GF122" s="14"/>
      <c r="GG122" s="14"/>
      <c r="GH122" s="14"/>
      <c r="GI122" s="14"/>
      <c r="GJ122" s="14"/>
      <c r="GK122" s="14"/>
      <c r="GL122" s="14"/>
      <c r="GM122" s="14"/>
      <c r="GN122" s="14"/>
      <c r="GO122" s="14"/>
      <c r="GP122" s="14"/>
      <c r="GQ122" s="14"/>
      <c r="GR122" s="14"/>
      <c r="GS122" s="14"/>
      <c r="GT122" s="14"/>
      <c r="GU122" s="14"/>
      <c r="GV122" s="14"/>
      <c r="GW122" s="14"/>
      <c r="GX122" s="14"/>
      <c r="GY122" s="14"/>
      <c r="GZ122" s="14"/>
      <c r="HA122" s="14"/>
      <c r="HB122" s="14"/>
      <c r="HC122" s="14"/>
      <c r="HD122" s="14"/>
      <c r="HE122" s="14"/>
      <c r="HF122" s="14"/>
      <c r="HG122" s="14"/>
      <c r="HH122" s="14"/>
      <c r="HI122" s="14"/>
      <c r="HJ122" s="14"/>
      <c r="HK122" s="14"/>
      <c r="HL122" s="14"/>
      <c r="HM122" s="14"/>
      <c r="HN122" s="14"/>
      <c r="HO122" s="14"/>
      <c r="HP122" s="14"/>
      <c r="HQ122" s="14"/>
      <c r="HR122" s="14"/>
      <c r="HS122" s="14"/>
      <c r="HT122" s="14"/>
      <c r="HU122" s="14"/>
      <c r="HV122" s="14"/>
      <c r="HW122" s="14"/>
      <c r="HX122" s="14"/>
      <c r="HY122" s="14"/>
      <c r="HZ122" s="14"/>
      <c r="IA122" s="14"/>
      <c r="IB122" s="14"/>
      <c r="IC122" s="14"/>
      <c r="ID122" s="14"/>
      <c r="IE122" s="14"/>
      <c r="IF122" s="14"/>
      <c r="IG122" s="14"/>
      <c r="IH122" s="14"/>
      <c r="II122" s="14"/>
      <c r="IJ122" s="14"/>
      <c r="IK122" s="14"/>
      <c r="IL122" s="14"/>
      <c r="IM122" s="14"/>
      <c r="IN122" s="14"/>
      <c r="IO122" s="14"/>
      <c r="IP122" s="14"/>
      <c r="IQ122" s="14"/>
      <c r="IR122" s="14"/>
      <c r="IS122" s="14"/>
      <c r="IT122" s="14"/>
      <c r="IU122" s="14"/>
      <c r="IV122" s="14"/>
    </row>
    <row r="123" spans="1:256" s="290" customFormat="1" ht="36.75" customHeight="1" x14ac:dyDescent="0.3">
      <c r="A123" s="69"/>
      <c r="B123" s="8"/>
      <c r="C123" s="82" t="s">
        <v>1476</v>
      </c>
      <c r="D123" s="270" t="s">
        <v>52</v>
      </c>
      <c r="E123" s="71" t="s">
        <v>1477</v>
      </c>
      <c r="F123" s="74">
        <f>0.5*4.4</f>
        <v>2.2000000000000002</v>
      </c>
      <c r="G123" s="11" t="s">
        <v>53</v>
      </c>
      <c r="H123" s="355">
        <v>1</v>
      </c>
      <c r="I123" s="354">
        <v>1.1479999999999999</v>
      </c>
      <c r="J123" s="32">
        <f t="shared" si="10"/>
        <v>596000</v>
      </c>
      <c r="K123" s="39">
        <f t="shared" si="9"/>
        <v>596000</v>
      </c>
      <c r="L123" s="261">
        <f t="shared" si="6"/>
        <v>0</v>
      </c>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c r="DQ123" s="14"/>
      <c r="DR123" s="14"/>
      <c r="DS123" s="14"/>
      <c r="DT123" s="14"/>
      <c r="DU123" s="14"/>
      <c r="DV123" s="14"/>
      <c r="DW123" s="14"/>
      <c r="DX123" s="14"/>
      <c r="DY123" s="14"/>
      <c r="DZ123" s="14"/>
      <c r="EA123" s="14"/>
      <c r="EB123" s="14"/>
      <c r="EC123" s="14"/>
      <c r="ED123" s="14"/>
      <c r="EE123" s="14"/>
      <c r="EF123" s="14"/>
      <c r="EG123" s="14"/>
      <c r="EH123" s="14"/>
      <c r="EI123" s="14"/>
      <c r="EJ123" s="14"/>
      <c r="EK123" s="14"/>
      <c r="EL123" s="14"/>
      <c r="EM123" s="14"/>
      <c r="EN123" s="14"/>
      <c r="EO123" s="14"/>
      <c r="EP123" s="14"/>
      <c r="EQ123" s="14"/>
      <c r="ER123" s="14"/>
      <c r="ES123" s="14"/>
      <c r="ET123" s="14"/>
      <c r="EU123" s="14"/>
      <c r="EV123" s="14"/>
      <c r="EW123" s="14"/>
      <c r="EX123" s="14"/>
      <c r="EY123" s="14"/>
      <c r="EZ123" s="14"/>
      <c r="FA123" s="14"/>
      <c r="FB123" s="14"/>
      <c r="FC123" s="14"/>
      <c r="FD123" s="14"/>
      <c r="FE123" s="14"/>
      <c r="FF123" s="14"/>
      <c r="FG123" s="14"/>
      <c r="FH123" s="14"/>
      <c r="FI123" s="14"/>
      <c r="FJ123" s="14"/>
      <c r="FK123" s="14"/>
      <c r="FL123" s="14"/>
      <c r="FM123" s="14"/>
      <c r="FN123" s="14"/>
      <c r="FO123" s="14"/>
      <c r="FP123" s="14"/>
      <c r="FQ123" s="14"/>
      <c r="FR123" s="14"/>
      <c r="FS123" s="14"/>
      <c r="FT123" s="14"/>
      <c r="FU123" s="14"/>
      <c r="FV123" s="14"/>
      <c r="FW123" s="14"/>
      <c r="FX123" s="14"/>
      <c r="FY123" s="14"/>
      <c r="FZ123" s="14"/>
      <c r="GA123" s="14"/>
      <c r="GB123" s="14"/>
      <c r="GC123" s="14"/>
      <c r="GD123" s="14"/>
      <c r="GE123" s="14"/>
      <c r="GF123" s="14"/>
      <c r="GG123" s="14"/>
      <c r="GH123" s="14"/>
      <c r="GI123" s="14"/>
      <c r="GJ123" s="14"/>
      <c r="GK123" s="14"/>
      <c r="GL123" s="14"/>
      <c r="GM123" s="14"/>
      <c r="GN123" s="14"/>
      <c r="GO123" s="14"/>
      <c r="GP123" s="14"/>
      <c r="GQ123" s="14"/>
      <c r="GR123" s="14"/>
      <c r="GS123" s="14"/>
      <c r="GT123" s="14"/>
      <c r="GU123" s="14"/>
      <c r="GV123" s="14"/>
      <c r="GW123" s="14"/>
      <c r="GX123" s="14"/>
      <c r="GY123" s="14"/>
      <c r="GZ123" s="14"/>
      <c r="HA123" s="14"/>
      <c r="HB123" s="14"/>
      <c r="HC123" s="14"/>
      <c r="HD123" s="14"/>
      <c r="HE123" s="14"/>
      <c r="HF123" s="14"/>
      <c r="HG123" s="14"/>
      <c r="HH123" s="14"/>
      <c r="HI123" s="14"/>
      <c r="HJ123" s="14"/>
      <c r="HK123" s="14"/>
      <c r="HL123" s="14"/>
      <c r="HM123" s="14"/>
      <c r="HN123" s="14"/>
      <c r="HO123" s="14"/>
      <c r="HP123" s="14"/>
      <c r="HQ123" s="14"/>
      <c r="HR123" s="14"/>
      <c r="HS123" s="14"/>
      <c r="HT123" s="14"/>
      <c r="HU123" s="14"/>
      <c r="HV123" s="14"/>
      <c r="HW123" s="14"/>
      <c r="HX123" s="14"/>
      <c r="HY123" s="14"/>
      <c r="HZ123" s="14"/>
      <c r="IA123" s="14"/>
      <c r="IB123" s="14"/>
      <c r="IC123" s="14"/>
      <c r="ID123" s="14"/>
      <c r="IE123" s="14"/>
      <c r="IF123" s="14"/>
      <c r="IG123" s="14"/>
      <c r="IH123" s="14"/>
      <c r="II123" s="14"/>
      <c r="IJ123" s="14"/>
      <c r="IK123" s="14"/>
      <c r="IL123" s="14"/>
      <c r="IM123" s="14"/>
      <c r="IN123" s="14"/>
      <c r="IO123" s="14"/>
      <c r="IP123" s="14"/>
      <c r="IQ123" s="14"/>
      <c r="IR123" s="14"/>
      <c r="IS123" s="14"/>
      <c r="IT123" s="14"/>
      <c r="IU123" s="14"/>
      <c r="IV123" s="14"/>
    </row>
    <row r="124" spans="1:256" s="290" customFormat="1" ht="36.75" customHeight="1" x14ac:dyDescent="0.3">
      <c r="A124" s="69"/>
      <c r="B124" s="8"/>
      <c r="C124" s="82" t="s">
        <v>1478</v>
      </c>
      <c r="D124" s="270" t="s">
        <v>68</v>
      </c>
      <c r="E124" s="96" t="s">
        <v>91</v>
      </c>
      <c r="F124" s="74">
        <f>3.8*2.9</f>
        <v>11.02</v>
      </c>
      <c r="G124" s="46">
        <v>213000</v>
      </c>
      <c r="H124" s="355">
        <v>1</v>
      </c>
      <c r="I124" s="151">
        <v>1.1479999999999999</v>
      </c>
      <c r="J124" s="32">
        <f t="shared" si="10"/>
        <v>2695000</v>
      </c>
      <c r="K124" s="39">
        <f t="shared" si="9"/>
        <v>2695000</v>
      </c>
      <c r="L124" s="261">
        <f t="shared" si="6"/>
        <v>0</v>
      </c>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c r="DQ124" s="14"/>
      <c r="DR124" s="14"/>
      <c r="DS124" s="14"/>
      <c r="DT124" s="14"/>
      <c r="DU124" s="14"/>
      <c r="DV124" s="14"/>
      <c r="DW124" s="14"/>
      <c r="DX124" s="14"/>
      <c r="DY124" s="14"/>
      <c r="DZ124" s="14"/>
      <c r="EA124" s="14"/>
      <c r="EB124" s="14"/>
      <c r="EC124" s="14"/>
      <c r="ED124" s="14"/>
      <c r="EE124" s="14"/>
      <c r="EF124" s="14"/>
      <c r="EG124" s="14"/>
      <c r="EH124" s="14"/>
      <c r="EI124" s="14"/>
      <c r="EJ124" s="14"/>
      <c r="EK124" s="14"/>
      <c r="EL124" s="14"/>
      <c r="EM124" s="14"/>
      <c r="EN124" s="14"/>
      <c r="EO124" s="14"/>
      <c r="EP124" s="14"/>
      <c r="EQ124" s="14"/>
      <c r="ER124" s="14"/>
      <c r="ES124" s="14"/>
      <c r="ET124" s="14"/>
      <c r="EU124" s="14"/>
      <c r="EV124" s="14"/>
      <c r="EW124" s="14"/>
      <c r="EX124" s="14"/>
      <c r="EY124" s="14"/>
      <c r="EZ124" s="14"/>
      <c r="FA124" s="14"/>
      <c r="FB124" s="14"/>
      <c r="FC124" s="14"/>
      <c r="FD124" s="14"/>
      <c r="FE124" s="14"/>
      <c r="FF124" s="14"/>
      <c r="FG124" s="14"/>
      <c r="FH124" s="14"/>
      <c r="FI124" s="14"/>
      <c r="FJ124" s="14"/>
      <c r="FK124" s="14"/>
      <c r="FL124" s="14"/>
      <c r="FM124" s="14"/>
      <c r="FN124" s="14"/>
      <c r="FO124" s="14"/>
      <c r="FP124" s="14"/>
      <c r="FQ124" s="14"/>
      <c r="FR124" s="14"/>
      <c r="FS124" s="14"/>
      <c r="FT124" s="14"/>
      <c r="FU124" s="14"/>
      <c r="FV124" s="14"/>
      <c r="FW124" s="14"/>
      <c r="FX124" s="14"/>
      <c r="FY124" s="14"/>
      <c r="FZ124" s="14"/>
      <c r="GA124" s="14"/>
      <c r="GB124" s="14"/>
      <c r="GC124" s="14"/>
      <c r="GD124" s="14"/>
      <c r="GE124" s="14"/>
      <c r="GF124" s="14"/>
      <c r="GG124" s="14"/>
      <c r="GH124" s="14"/>
      <c r="GI124" s="14"/>
      <c r="GJ124" s="14"/>
      <c r="GK124" s="14"/>
      <c r="GL124" s="14"/>
      <c r="GM124" s="14"/>
      <c r="GN124" s="14"/>
      <c r="GO124" s="14"/>
      <c r="GP124" s="14"/>
      <c r="GQ124" s="14"/>
      <c r="GR124" s="14"/>
      <c r="GS124" s="14"/>
      <c r="GT124" s="14"/>
      <c r="GU124" s="14"/>
      <c r="GV124" s="14"/>
      <c r="GW124" s="14"/>
      <c r="GX124" s="14"/>
      <c r="GY124" s="14"/>
      <c r="GZ124" s="14"/>
      <c r="HA124" s="14"/>
      <c r="HB124" s="14"/>
      <c r="HC124" s="14"/>
      <c r="HD124" s="14"/>
      <c r="HE124" s="14"/>
      <c r="HF124" s="14"/>
      <c r="HG124" s="14"/>
      <c r="HH124" s="14"/>
      <c r="HI124" s="14"/>
      <c r="HJ124" s="14"/>
      <c r="HK124" s="14"/>
      <c r="HL124" s="14"/>
      <c r="HM124" s="14"/>
      <c r="HN124" s="14"/>
      <c r="HO124" s="14"/>
      <c r="HP124" s="14"/>
      <c r="HQ124" s="14"/>
      <c r="HR124" s="14"/>
      <c r="HS124" s="14"/>
      <c r="HT124" s="14"/>
      <c r="HU124" s="14"/>
      <c r="HV124" s="14"/>
      <c r="HW124" s="14"/>
      <c r="HX124" s="14"/>
      <c r="HY124" s="14"/>
      <c r="HZ124" s="14"/>
      <c r="IA124" s="14"/>
      <c r="IB124" s="14"/>
      <c r="IC124" s="14"/>
      <c r="ID124" s="14"/>
      <c r="IE124" s="14"/>
      <c r="IF124" s="14"/>
      <c r="IG124" s="14"/>
      <c r="IH124" s="14"/>
      <c r="II124" s="14"/>
      <c r="IJ124" s="14"/>
      <c r="IK124" s="14"/>
      <c r="IL124" s="14"/>
      <c r="IM124" s="14"/>
      <c r="IN124" s="14"/>
      <c r="IO124" s="14"/>
      <c r="IP124" s="14"/>
      <c r="IQ124" s="14"/>
      <c r="IR124" s="14"/>
      <c r="IS124" s="14"/>
      <c r="IT124" s="14"/>
      <c r="IU124" s="14"/>
      <c r="IV124" s="14"/>
    </row>
    <row r="125" spans="1:256" s="290" customFormat="1" ht="40.5" customHeight="1" x14ac:dyDescent="0.3">
      <c r="A125" s="69"/>
      <c r="B125" s="8"/>
      <c r="C125" s="82" t="s">
        <v>1479</v>
      </c>
      <c r="D125" s="267" t="s">
        <v>24</v>
      </c>
      <c r="E125" s="8" t="s">
        <v>25</v>
      </c>
      <c r="F125" s="74">
        <f>0.4*3*0.1+1*4.2*0.1</f>
        <v>0.54</v>
      </c>
      <c r="G125" s="29">
        <v>2828000</v>
      </c>
      <c r="H125" s="355">
        <v>1</v>
      </c>
      <c r="I125" s="151">
        <v>1.1479999999999999</v>
      </c>
      <c r="J125" s="32">
        <f t="shared" si="10"/>
        <v>1753000</v>
      </c>
      <c r="K125" s="39">
        <f t="shared" si="9"/>
        <v>1753000</v>
      </c>
      <c r="L125" s="261">
        <f t="shared" si="6"/>
        <v>0</v>
      </c>
      <c r="M125" s="409" t="s">
        <v>1397</v>
      </c>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c r="DQ125" s="14"/>
      <c r="DR125" s="14"/>
      <c r="DS125" s="14"/>
      <c r="DT125" s="14"/>
      <c r="DU125" s="14"/>
      <c r="DV125" s="14"/>
      <c r="DW125" s="14"/>
      <c r="DX125" s="14"/>
      <c r="DY125" s="14"/>
      <c r="DZ125" s="14"/>
      <c r="EA125" s="14"/>
      <c r="EB125" s="14"/>
      <c r="EC125" s="14"/>
      <c r="ED125" s="14"/>
      <c r="EE125" s="14"/>
      <c r="EF125" s="14"/>
      <c r="EG125" s="14"/>
      <c r="EH125" s="14"/>
      <c r="EI125" s="14"/>
      <c r="EJ125" s="14"/>
      <c r="EK125" s="14"/>
      <c r="EL125" s="14"/>
      <c r="EM125" s="14"/>
      <c r="EN125" s="14"/>
      <c r="EO125" s="14"/>
      <c r="EP125" s="14"/>
      <c r="EQ125" s="14"/>
      <c r="ER125" s="14"/>
      <c r="ES125" s="14"/>
      <c r="ET125" s="14"/>
      <c r="EU125" s="14"/>
      <c r="EV125" s="14"/>
      <c r="EW125" s="14"/>
      <c r="EX125" s="14"/>
      <c r="EY125" s="14"/>
      <c r="EZ125" s="14"/>
      <c r="FA125" s="14"/>
      <c r="FB125" s="14"/>
      <c r="FC125" s="14"/>
      <c r="FD125" s="14"/>
      <c r="FE125" s="14"/>
      <c r="FF125" s="14"/>
      <c r="FG125" s="14"/>
      <c r="FH125" s="14"/>
      <c r="FI125" s="14"/>
      <c r="FJ125" s="14"/>
      <c r="FK125" s="14"/>
      <c r="FL125" s="14"/>
      <c r="FM125" s="14"/>
      <c r="FN125" s="14"/>
      <c r="FO125" s="14"/>
      <c r="FP125" s="14"/>
      <c r="FQ125" s="14"/>
      <c r="FR125" s="14"/>
      <c r="FS125" s="14"/>
      <c r="FT125" s="14"/>
      <c r="FU125" s="14"/>
      <c r="FV125" s="14"/>
      <c r="FW125" s="14"/>
      <c r="FX125" s="14"/>
      <c r="FY125" s="14"/>
      <c r="FZ125" s="14"/>
      <c r="GA125" s="14"/>
      <c r="GB125" s="14"/>
      <c r="GC125" s="14"/>
      <c r="GD125" s="14"/>
      <c r="GE125" s="14"/>
      <c r="GF125" s="14"/>
      <c r="GG125" s="14"/>
      <c r="GH125" s="14"/>
      <c r="GI125" s="14"/>
      <c r="GJ125" s="14"/>
      <c r="GK125" s="14"/>
      <c r="GL125" s="14"/>
      <c r="GM125" s="14"/>
      <c r="GN125" s="14"/>
      <c r="GO125" s="14"/>
      <c r="GP125" s="14"/>
      <c r="GQ125" s="14"/>
      <c r="GR125" s="14"/>
      <c r="GS125" s="14"/>
      <c r="GT125" s="14"/>
      <c r="GU125" s="14"/>
      <c r="GV125" s="14"/>
      <c r="GW125" s="14"/>
      <c r="GX125" s="14"/>
      <c r="GY125" s="14"/>
      <c r="GZ125" s="14"/>
      <c r="HA125" s="14"/>
      <c r="HB125" s="14"/>
      <c r="HC125" s="14"/>
      <c r="HD125" s="14"/>
      <c r="HE125" s="14"/>
      <c r="HF125" s="14"/>
      <c r="HG125" s="14"/>
      <c r="HH125" s="14"/>
      <c r="HI125" s="14"/>
      <c r="HJ125" s="14"/>
      <c r="HK125" s="14"/>
      <c r="HL125" s="14"/>
      <c r="HM125" s="14"/>
      <c r="HN125" s="14"/>
      <c r="HO125" s="14"/>
      <c r="HP125" s="14"/>
      <c r="HQ125" s="14"/>
      <c r="HR125" s="14"/>
      <c r="HS125" s="14"/>
      <c r="HT125" s="14"/>
      <c r="HU125" s="14"/>
      <c r="HV125" s="14"/>
      <c r="HW125" s="14"/>
      <c r="HX125" s="14"/>
      <c r="HY125" s="14"/>
      <c r="HZ125" s="14"/>
      <c r="IA125" s="14"/>
      <c r="IB125" s="14"/>
      <c r="IC125" s="14"/>
      <c r="ID125" s="14"/>
      <c r="IE125" s="14"/>
      <c r="IF125" s="14"/>
      <c r="IG125" s="14"/>
      <c r="IH125" s="14"/>
      <c r="II125" s="14"/>
      <c r="IJ125" s="14"/>
      <c r="IK125" s="14"/>
      <c r="IL125" s="14"/>
      <c r="IM125" s="14"/>
      <c r="IN125" s="14"/>
      <c r="IO125" s="14"/>
      <c r="IP125" s="14"/>
      <c r="IQ125" s="14"/>
      <c r="IR125" s="14"/>
      <c r="IS125" s="14"/>
      <c r="IT125" s="14"/>
      <c r="IU125" s="14"/>
      <c r="IV125" s="14"/>
    </row>
    <row r="126" spans="1:256" s="290" customFormat="1" ht="36.75" customHeight="1" x14ac:dyDescent="0.3">
      <c r="A126" s="69"/>
      <c r="B126" s="8"/>
      <c r="C126" s="82" t="s">
        <v>1480</v>
      </c>
      <c r="D126" s="270" t="s">
        <v>52</v>
      </c>
      <c r="E126" s="96" t="s">
        <v>91</v>
      </c>
      <c r="F126" s="74">
        <f>4*1.2</f>
        <v>4.8</v>
      </c>
      <c r="G126" s="11" t="s">
        <v>53</v>
      </c>
      <c r="H126" s="355">
        <v>1</v>
      </c>
      <c r="I126" s="354">
        <v>1.1479999999999999</v>
      </c>
      <c r="J126" s="32">
        <f t="shared" si="10"/>
        <v>1300000</v>
      </c>
      <c r="K126" s="39">
        <f t="shared" si="9"/>
        <v>1300000</v>
      </c>
      <c r="L126" s="261">
        <f t="shared" si="6"/>
        <v>0</v>
      </c>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4"/>
      <c r="EU126" s="14"/>
      <c r="EV126" s="14"/>
      <c r="EW126" s="14"/>
      <c r="EX126" s="14"/>
      <c r="EY126" s="14"/>
      <c r="EZ126" s="14"/>
      <c r="FA126" s="14"/>
      <c r="FB126" s="14"/>
      <c r="FC126" s="14"/>
      <c r="FD126" s="14"/>
      <c r="FE126" s="14"/>
      <c r="FF126" s="14"/>
      <c r="FG126" s="14"/>
      <c r="FH126" s="14"/>
      <c r="FI126" s="14"/>
      <c r="FJ126" s="14"/>
      <c r="FK126" s="14"/>
      <c r="FL126" s="14"/>
      <c r="FM126" s="14"/>
      <c r="FN126" s="14"/>
      <c r="FO126" s="14"/>
      <c r="FP126" s="14"/>
      <c r="FQ126" s="14"/>
      <c r="FR126" s="14"/>
      <c r="FS126" s="14"/>
      <c r="FT126" s="14"/>
      <c r="FU126" s="14"/>
      <c r="FV126" s="14"/>
      <c r="FW126" s="14"/>
      <c r="FX126" s="14"/>
      <c r="FY126" s="14"/>
      <c r="FZ126" s="14"/>
      <c r="GA126" s="14"/>
      <c r="GB126" s="14"/>
      <c r="GC126" s="14"/>
      <c r="GD126" s="14"/>
      <c r="GE126" s="14"/>
      <c r="GF126" s="14"/>
      <c r="GG126" s="14"/>
      <c r="GH126" s="14"/>
      <c r="GI126" s="14"/>
      <c r="GJ126" s="14"/>
      <c r="GK126" s="14"/>
      <c r="GL126" s="14"/>
      <c r="GM126" s="14"/>
      <c r="GN126" s="14"/>
      <c r="GO126" s="14"/>
      <c r="GP126" s="14"/>
      <c r="GQ126" s="14"/>
      <c r="GR126" s="14"/>
      <c r="GS126" s="14"/>
      <c r="GT126" s="14"/>
      <c r="GU126" s="14"/>
      <c r="GV126" s="14"/>
      <c r="GW126" s="14"/>
      <c r="GX126" s="14"/>
      <c r="GY126" s="14"/>
      <c r="GZ126" s="14"/>
      <c r="HA126" s="14"/>
      <c r="HB126" s="14"/>
      <c r="HC126" s="14"/>
      <c r="HD126" s="14"/>
      <c r="HE126" s="14"/>
      <c r="HF126" s="14"/>
      <c r="HG126" s="14"/>
      <c r="HH126" s="14"/>
      <c r="HI126" s="14"/>
      <c r="HJ126" s="14"/>
      <c r="HK126" s="14"/>
      <c r="HL126" s="14"/>
      <c r="HM126" s="14"/>
      <c r="HN126" s="14"/>
      <c r="HO126" s="14"/>
      <c r="HP126" s="14"/>
      <c r="HQ126" s="14"/>
      <c r="HR126" s="14"/>
      <c r="HS126" s="14"/>
      <c r="HT126" s="14"/>
      <c r="HU126" s="14"/>
      <c r="HV126" s="14"/>
      <c r="HW126" s="14"/>
      <c r="HX126" s="14"/>
      <c r="HY126" s="14"/>
      <c r="HZ126" s="14"/>
      <c r="IA126" s="14"/>
      <c r="IB126" s="14"/>
      <c r="IC126" s="14"/>
      <c r="ID126" s="14"/>
      <c r="IE126" s="14"/>
      <c r="IF126" s="14"/>
      <c r="IG126" s="14"/>
      <c r="IH126" s="14"/>
      <c r="II126" s="14"/>
      <c r="IJ126" s="14"/>
      <c r="IK126" s="14"/>
      <c r="IL126" s="14"/>
      <c r="IM126" s="14"/>
      <c r="IN126" s="14"/>
      <c r="IO126" s="14"/>
      <c r="IP126" s="14"/>
      <c r="IQ126" s="14"/>
      <c r="IR126" s="14"/>
      <c r="IS126" s="14"/>
      <c r="IT126" s="14"/>
      <c r="IU126" s="14"/>
      <c r="IV126" s="14"/>
    </row>
    <row r="127" spans="1:256" s="290" customFormat="1" ht="36.75" customHeight="1" x14ac:dyDescent="0.3">
      <c r="A127" s="69"/>
      <c r="B127" s="8"/>
      <c r="C127" s="82" t="s">
        <v>1481</v>
      </c>
      <c r="D127" s="269" t="s">
        <v>1471</v>
      </c>
      <c r="E127" s="96" t="s">
        <v>91</v>
      </c>
      <c r="F127" s="74">
        <f>6.3*0.85</f>
        <v>5.3549999999999995</v>
      </c>
      <c r="G127" s="11">
        <v>453000</v>
      </c>
      <c r="H127" s="355">
        <v>1</v>
      </c>
      <c r="I127" s="354">
        <v>1.1479999999999999</v>
      </c>
      <c r="J127" s="32">
        <f t="shared" si="10"/>
        <v>2785000</v>
      </c>
      <c r="K127" s="39">
        <f t="shared" si="9"/>
        <v>2785000</v>
      </c>
      <c r="L127" s="261">
        <f t="shared" si="6"/>
        <v>0</v>
      </c>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c r="DQ127" s="14"/>
      <c r="DR127" s="14"/>
      <c r="DS127" s="14"/>
      <c r="DT127" s="14"/>
      <c r="DU127" s="14"/>
      <c r="DV127" s="14"/>
      <c r="DW127" s="14"/>
      <c r="DX127" s="14"/>
      <c r="DY127" s="14"/>
      <c r="DZ127" s="14"/>
      <c r="EA127" s="14"/>
      <c r="EB127" s="14"/>
      <c r="EC127" s="14"/>
      <c r="ED127" s="14"/>
      <c r="EE127" s="14"/>
      <c r="EF127" s="14"/>
      <c r="EG127" s="14"/>
      <c r="EH127" s="14"/>
      <c r="EI127" s="14"/>
      <c r="EJ127" s="14"/>
      <c r="EK127" s="14"/>
      <c r="EL127" s="14"/>
      <c r="EM127" s="14"/>
      <c r="EN127" s="14"/>
      <c r="EO127" s="14"/>
      <c r="EP127" s="14"/>
      <c r="EQ127" s="14"/>
      <c r="ER127" s="14"/>
      <c r="ES127" s="14"/>
      <c r="ET127" s="14"/>
      <c r="EU127" s="14"/>
      <c r="EV127" s="14"/>
      <c r="EW127" s="14"/>
      <c r="EX127" s="14"/>
      <c r="EY127" s="14"/>
      <c r="EZ127" s="14"/>
      <c r="FA127" s="14"/>
      <c r="FB127" s="14"/>
      <c r="FC127" s="14"/>
      <c r="FD127" s="14"/>
      <c r="FE127" s="14"/>
      <c r="FF127" s="14"/>
      <c r="FG127" s="14"/>
      <c r="FH127" s="14"/>
      <c r="FI127" s="14"/>
      <c r="FJ127" s="14"/>
      <c r="FK127" s="14"/>
      <c r="FL127" s="14"/>
      <c r="FM127" s="14"/>
      <c r="FN127" s="14"/>
      <c r="FO127" s="14"/>
      <c r="FP127" s="14"/>
      <c r="FQ127" s="14"/>
      <c r="FR127" s="14"/>
      <c r="FS127" s="14"/>
      <c r="FT127" s="14"/>
      <c r="FU127" s="14"/>
      <c r="FV127" s="14"/>
      <c r="FW127" s="14"/>
      <c r="FX127" s="14"/>
      <c r="FY127" s="14"/>
      <c r="FZ127" s="14"/>
      <c r="GA127" s="14"/>
      <c r="GB127" s="14"/>
      <c r="GC127" s="14"/>
      <c r="GD127" s="14"/>
      <c r="GE127" s="14"/>
      <c r="GF127" s="14"/>
      <c r="GG127" s="14"/>
      <c r="GH127" s="14"/>
      <c r="GI127" s="14"/>
      <c r="GJ127" s="14"/>
      <c r="GK127" s="14"/>
      <c r="GL127" s="14"/>
      <c r="GM127" s="14"/>
      <c r="GN127" s="14"/>
      <c r="GO127" s="14"/>
      <c r="GP127" s="14"/>
      <c r="GQ127" s="14"/>
      <c r="GR127" s="14"/>
      <c r="GS127" s="14"/>
      <c r="GT127" s="14"/>
      <c r="GU127" s="14"/>
      <c r="GV127" s="14"/>
      <c r="GW127" s="14"/>
      <c r="GX127" s="14"/>
      <c r="GY127" s="14"/>
      <c r="GZ127" s="14"/>
      <c r="HA127" s="14"/>
      <c r="HB127" s="14"/>
      <c r="HC127" s="14"/>
      <c r="HD127" s="14"/>
      <c r="HE127" s="14"/>
      <c r="HF127" s="14"/>
      <c r="HG127" s="14"/>
      <c r="HH127" s="14"/>
      <c r="HI127" s="14"/>
      <c r="HJ127" s="14"/>
      <c r="HK127" s="14"/>
      <c r="HL127" s="14"/>
      <c r="HM127" s="14"/>
      <c r="HN127" s="14"/>
      <c r="HO127" s="14"/>
      <c r="HP127" s="14"/>
      <c r="HQ127" s="14"/>
      <c r="HR127" s="14"/>
      <c r="HS127" s="14"/>
      <c r="HT127" s="14"/>
      <c r="HU127" s="14"/>
      <c r="HV127" s="14"/>
      <c r="HW127" s="14"/>
      <c r="HX127" s="14"/>
      <c r="HY127" s="14"/>
      <c r="HZ127" s="14"/>
      <c r="IA127" s="14"/>
      <c r="IB127" s="14"/>
      <c r="IC127" s="14"/>
      <c r="ID127" s="14"/>
      <c r="IE127" s="14"/>
      <c r="IF127" s="14"/>
      <c r="IG127" s="14"/>
      <c r="IH127" s="14"/>
      <c r="II127" s="14"/>
      <c r="IJ127" s="14"/>
      <c r="IK127" s="14"/>
      <c r="IL127" s="14"/>
      <c r="IM127" s="14"/>
      <c r="IN127" s="14"/>
      <c r="IO127" s="14"/>
      <c r="IP127" s="14"/>
      <c r="IQ127" s="14"/>
      <c r="IR127" s="14"/>
      <c r="IS127" s="14"/>
      <c r="IT127" s="14"/>
      <c r="IU127" s="14"/>
      <c r="IV127" s="14"/>
    </row>
    <row r="128" spans="1:256" s="290" customFormat="1" ht="36.75" customHeight="1" x14ac:dyDescent="0.3">
      <c r="A128" s="117"/>
      <c r="B128" s="118"/>
      <c r="C128" s="82" t="s">
        <v>1482</v>
      </c>
      <c r="D128" s="270" t="s">
        <v>38</v>
      </c>
      <c r="E128" s="71" t="s">
        <v>39</v>
      </c>
      <c r="F128" s="72">
        <v>1</v>
      </c>
      <c r="G128" s="55">
        <v>1018000</v>
      </c>
      <c r="H128" s="355">
        <v>1</v>
      </c>
      <c r="I128" s="410">
        <v>1.1479999999999999</v>
      </c>
      <c r="J128" s="364">
        <f t="shared" si="10"/>
        <v>1169000</v>
      </c>
      <c r="K128" s="39">
        <f t="shared" si="9"/>
        <v>1169000</v>
      </c>
      <c r="L128" s="261">
        <f t="shared" si="6"/>
        <v>0</v>
      </c>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c r="DQ128" s="14"/>
      <c r="DR128" s="14"/>
      <c r="DS128" s="14"/>
      <c r="DT128" s="14"/>
      <c r="DU128" s="14"/>
      <c r="DV128" s="14"/>
      <c r="DW128" s="14"/>
      <c r="DX128" s="14"/>
      <c r="DY128" s="14"/>
      <c r="DZ128" s="14"/>
      <c r="EA128" s="14"/>
      <c r="EB128" s="14"/>
      <c r="EC128" s="14"/>
      <c r="ED128" s="14"/>
      <c r="EE128" s="14"/>
      <c r="EF128" s="14"/>
      <c r="EG128" s="14"/>
      <c r="EH128" s="14"/>
      <c r="EI128" s="14"/>
      <c r="EJ128" s="14"/>
      <c r="EK128" s="14"/>
      <c r="EL128" s="14"/>
      <c r="EM128" s="14"/>
      <c r="EN128" s="14"/>
      <c r="EO128" s="14"/>
      <c r="EP128" s="14"/>
      <c r="EQ128" s="14"/>
      <c r="ER128" s="14"/>
      <c r="ES128" s="14"/>
      <c r="ET128" s="14"/>
      <c r="EU128" s="14"/>
      <c r="EV128" s="14"/>
      <c r="EW128" s="14"/>
      <c r="EX128" s="14"/>
      <c r="EY128" s="14"/>
      <c r="EZ128" s="14"/>
      <c r="FA128" s="14"/>
      <c r="FB128" s="14"/>
      <c r="FC128" s="14"/>
      <c r="FD128" s="14"/>
      <c r="FE128" s="14"/>
      <c r="FF128" s="14"/>
      <c r="FG128" s="14"/>
      <c r="FH128" s="14"/>
      <c r="FI128" s="14"/>
      <c r="FJ128" s="14"/>
      <c r="FK128" s="14"/>
      <c r="FL128" s="14"/>
      <c r="FM128" s="14"/>
      <c r="FN128" s="14"/>
      <c r="FO128" s="14"/>
      <c r="FP128" s="14"/>
      <c r="FQ128" s="14"/>
      <c r="FR128" s="14"/>
      <c r="FS128" s="14"/>
      <c r="FT128" s="14"/>
      <c r="FU128" s="14"/>
      <c r="FV128" s="14"/>
      <c r="FW128" s="14"/>
      <c r="FX128" s="14"/>
      <c r="FY128" s="14"/>
      <c r="FZ128" s="14"/>
      <c r="GA128" s="14"/>
      <c r="GB128" s="14"/>
      <c r="GC128" s="14"/>
      <c r="GD128" s="14"/>
      <c r="GE128" s="14"/>
      <c r="GF128" s="14"/>
      <c r="GG128" s="14"/>
      <c r="GH128" s="14"/>
      <c r="GI128" s="14"/>
      <c r="GJ128" s="14"/>
      <c r="GK128" s="14"/>
      <c r="GL128" s="14"/>
      <c r="GM128" s="14"/>
      <c r="GN128" s="14"/>
      <c r="GO128" s="14"/>
      <c r="GP128" s="14"/>
      <c r="GQ128" s="14"/>
      <c r="GR128" s="14"/>
      <c r="GS128" s="14"/>
      <c r="GT128" s="14"/>
      <c r="GU128" s="14"/>
      <c r="GV128" s="14"/>
      <c r="GW128" s="14"/>
      <c r="GX128" s="14"/>
      <c r="GY128" s="14"/>
      <c r="GZ128" s="14"/>
      <c r="HA128" s="14"/>
      <c r="HB128" s="14"/>
      <c r="HC128" s="14"/>
      <c r="HD128" s="14"/>
      <c r="HE128" s="14"/>
      <c r="HF128" s="14"/>
      <c r="HG128" s="14"/>
      <c r="HH128" s="14"/>
      <c r="HI128" s="14"/>
      <c r="HJ128" s="14"/>
      <c r="HK128" s="14"/>
      <c r="HL128" s="14"/>
      <c r="HM128" s="14"/>
      <c r="HN128" s="14"/>
      <c r="HO128" s="14"/>
      <c r="HP128" s="14"/>
      <c r="HQ128" s="14"/>
      <c r="HR128" s="14"/>
      <c r="HS128" s="14"/>
      <c r="HT128" s="14"/>
      <c r="HU128" s="14"/>
      <c r="HV128" s="14"/>
      <c r="HW128" s="14"/>
      <c r="HX128" s="14"/>
      <c r="HY128" s="14"/>
      <c r="HZ128" s="14"/>
      <c r="IA128" s="14"/>
      <c r="IB128" s="14"/>
      <c r="IC128" s="14"/>
      <c r="ID128" s="14"/>
      <c r="IE128" s="14"/>
      <c r="IF128" s="14"/>
      <c r="IG128" s="14"/>
      <c r="IH128" s="14"/>
      <c r="II128" s="14"/>
      <c r="IJ128" s="14"/>
      <c r="IK128" s="14"/>
      <c r="IL128" s="14"/>
      <c r="IM128" s="14"/>
      <c r="IN128" s="14"/>
      <c r="IO128" s="14"/>
      <c r="IP128" s="14"/>
      <c r="IQ128" s="14"/>
      <c r="IR128" s="14"/>
      <c r="IS128" s="14"/>
      <c r="IT128" s="14"/>
      <c r="IU128" s="14"/>
      <c r="IV128" s="14"/>
    </row>
    <row r="129" spans="1:256" s="290" customFormat="1" ht="25.5" x14ac:dyDescent="0.3">
      <c r="A129" s="69"/>
      <c r="B129" s="8"/>
      <c r="C129" s="113" t="s">
        <v>1410</v>
      </c>
      <c r="D129" s="399" t="s">
        <v>94</v>
      </c>
      <c r="E129" s="126" t="s">
        <v>35</v>
      </c>
      <c r="F129" s="116">
        <v>1</v>
      </c>
      <c r="G129" s="411">
        <v>1065100</v>
      </c>
      <c r="H129" s="372">
        <v>1</v>
      </c>
      <c r="I129" s="373">
        <v>1</v>
      </c>
      <c r="J129" s="412">
        <f t="shared" si="10"/>
        <v>1065000</v>
      </c>
      <c r="K129" s="39">
        <f t="shared" si="9"/>
        <v>1065000</v>
      </c>
      <c r="L129" s="261">
        <f t="shared" si="6"/>
        <v>0</v>
      </c>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c r="DO129" s="14"/>
      <c r="DP129" s="14"/>
      <c r="DQ129" s="14"/>
      <c r="DR129" s="14"/>
      <c r="DS129" s="14"/>
      <c r="DT129" s="14"/>
      <c r="DU129" s="14"/>
      <c r="DV129" s="14"/>
      <c r="DW129" s="14"/>
      <c r="DX129" s="14"/>
      <c r="DY129" s="14"/>
      <c r="DZ129" s="14"/>
      <c r="EA129" s="14"/>
      <c r="EB129" s="14"/>
      <c r="EC129" s="14"/>
      <c r="ED129" s="14"/>
      <c r="EE129" s="14"/>
      <c r="EF129" s="14"/>
      <c r="EG129" s="14"/>
      <c r="EH129" s="14"/>
      <c r="EI129" s="14"/>
      <c r="EJ129" s="14"/>
      <c r="EK129" s="14"/>
      <c r="EL129" s="14"/>
      <c r="EM129" s="14"/>
      <c r="EN129" s="14"/>
      <c r="EO129" s="14"/>
      <c r="EP129" s="14"/>
      <c r="EQ129" s="14"/>
      <c r="ER129" s="14"/>
      <c r="ES129" s="14"/>
      <c r="ET129" s="14"/>
      <c r="EU129" s="14"/>
      <c r="EV129" s="14"/>
      <c r="EW129" s="14"/>
      <c r="EX129" s="14"/>
      <c r="EY129" s="14"/>
      <c r="EZ129" s="14"/>
      <c r="FA129" s="14"/>
      <c r="FB129" s="14"/>
      <c r="FC129" s="14"/>
      <c r="FD129" s="14"/>
      <c r="FE129" s="14"/>
      <c r="FF129" s="14"/>
      <c r="FG129" s="14"/>
      <c r="FH129" s="14"/>
      <c r="FI129" s="14"/>
      <c r="FJ129" s="14"/>
      <c r="FK129" s="14"/>
      <c r="FL129" s="14"/>
      <c r="FM129" s="14"/>
      <c r="FN129" s="14"/>
      <c r="FO129" s="14"/>
      <c r="FP129" s="14"/>
      <c r="FQ129" s="14"/>
      <c r="FR129" s="14"/>
      <c r="FS129" s="14"/>
      <c r="FT129" s="14"/>
      <c r="FU129" s="14"/>
      <c r="FV129" s="14"/>
      <c r="FW129" s="14"/>
      <c r="FX129" s="14"/>
      <c r="FY129" s="14"/>
      <c r="FZ129" s="14"/>
      <c r="GA129" s="14"/>
      <c r="GB129" s="14"/>
      <c r="GC129" s="14"/>
      <c r="GD129" s="14"/>
      <c r="GE129" s="14"/>
      <c r="GF129" s="14"/>
      <c r="GG129" s="14"/>
      <c r="GH129" s="14"/>
      <c r="GI129" s="14"/>
      <c r="GJ129" s="14"/>
      <c r="GK129" s="14"/>
      <c r="GL129" s="14"/>
      <c r="GM129" s="14"/>
      <c r="GN129" s="14"/>
      <c r="GO129" s="14"/>
      <c r="GP129" s="14"/>
      <c r="GQ129" s="14"/>
      <c r="GR129" s="14"/>
      <c r="GS129" s="14"/>
      <c r="GT129" s="14"/>
      <c r="GU129" s="14"/>
      <c r="GV129" s="14"/>
      <c r="GW129" s="14"/>
      <c r="GX129" s="14"/>
      <c r="GY129" s="14"/>
      <c r="GZ129" s="14"/>
      <c r="HA129" s="14"/>
      <c r="HB129" s="14"/>
      <c r="HC129" s="14"/>
      <c r="HD129" s="14"/>
      <c r="HE129" s="14"/>
      <c r="HF129" s="14"/>
      <c r="HG129" s="14"/>
      <c r="HH129" s="14"/>
      <c r="HI129" s="14"/>
      <c r="HJ129" s="14"/>
      <c r="HK129" s="14"/>
      <c r="HL129" s="14"/>
      <c r="HM129" s="14"/>
      <c r="HN129" s="14"/>
      <c r="HO129" s="14"/>
      <c r="HP129" s="14"/>
      <c r="HQ129" s="14"/>
      <c r="HR129" s="14"/>
      <c r="HS129" s="14"/>
      <c r="HT129" s="14"/>
      <c r="HU129" s="14"/>
      <c r="HV129" s="14"/>
      <c r="HW129" s="14"/>
      <c r="HX129" s="14"/>
      <c r="HY129" s="14"/>
      <c r="HZ129" s="14"/>
      <c r="IA129" s="14"/>
      <c r="IB129" s="14"/>
      <c r="IC129" s="14"/>
      <c r="ID129" s="14"/>
      <c r="IE129" s="14"/>
      <c r="IF129" s="14"/>
      <c r="IG129" s="14"/>
      <c r="IH129" s="14"/>
      <c r="II129" s="14"/>
      <c r="IJ129" s="14"/>
      <c r="IK129" s="14"/>
      <c r="IL129" s="14"/>
      <c r="IM129" s="14"/>
      <c r="IN129" s="14"/>
      <c r="IO129" s="14"/>
      <c r="IP129" s="14"/>
      <c r="IQ129" s="14"/>
      <c r="IR129" s="14"/>
      <c r="IS129" s="14"/>
      <c r="IT129" s="14"/>
      <c r="IU129" s="14"/>
      <c r="IV129" s="14"/>
    </row>
    <row r="130" spans="1:256" s="290" customFormat="1" ht="38.25" x14ac:dyDescent="0.3">
      <c r="A130" s="104"/>
      <c r="B130" s="105"/>
      <c r="C130" s="113" t="s">
        <v>1483</v>
      </c>
      <c r="D130" s="399" t="s">
        <v>47</v>
      </c>
      <c r="E130" s="126" t="s">
        <v>45</v>
      </c>
      <c r="F130" s="413">
        <v>7</v>
      </c>
      <c r="G130" s="177">
        <v>28000</v>
      </c>
      <c r="H130" s="355">
        <v>1</v>
      </c>
      <c r="I130" s="400">
        <v>1.1479999999999999</v>
      </c>
      <c r="J130" s="378">
        <f t="shared" si="10"/>
        <v>225000</v>
      </c>
      <c r="K130" s="39">
        <f t="shared" si="9"/>
        <v>225000</v>
      </c>
      <c r="L130" s="261">
        <f t="shared" si="6"/>
        <v>0</v>
      </c>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c r="DQ130" s="14"/>
      <c r="DR130" s="14"/>
      <c r="DS130" s="14"/>
      <c r="DT130" s="14"/>
      <c r="DU130" s="14"/>
      <c r="DV130" s="14"/>
      <c r="DW130" s="14"/>
      <c r="DX130" s="14"/>
      <c r="DY130" s="14"/>
      <c r="DZ130" s="14"/>
      <c r="EA130" s="14"/>
      <c r="EB130" s="14"/>
      <c r="EC130" s="14"/>
      <c r="ED130" s="14"/>
      <c r="EE130" s="14"/>
      <c r="EF130" s="14"/>
      <c r="EG130" s="14"/>
      <c r="EH130" s="14"/>
      <c r="EI130" s="14"/>
      <c r="EJ130" s="14"/>
      <c r="EK130" s="14"/>
      <c r="EL130" s="14"/>
      <c r="EM130" s="14"/>
      <c r="EN130" s="14"/>
      <c r="EO130" s="14"/>
      <c r="EP130" s="14"/>
      <c r="EQ130" s="14"/>
      <c r="ER130" s="14"/>
      <c r="ES130" s="14"/>
      <c r="ET130" s="14"/>
      <c r="EU130" s="14"/>
      <c r="EV130" s="14"/>
      <c r="EW130" s="14"/>
      <c r="EX130" s="14"/>
      <c r="EY130" s="14"/>
      <c r="EZ130" s="14"/>
      <c r="FA130" s="14"/>
      <c r="FB130" s="14"/>
      <c r="FC130" s="14"/>
      <c r="FD130" s="14"/>
      <c r="FE130" s="14"/>
      <c r="FF130" s="14"/>
      <c r="FG130" s="14"/>
      <c r="FH130" s="14"/>
      <c r="FI130" s="14"/>
      <c r="FJ130" s="14"/>
      <c r="FK130" s="14"/>
      <c r="FL130" s="14"/>
      <c r="FM130" s="14"/>
      <c r="FN130" s="14"/>
      <c r="FO130" s="14"/>
      <c r="FP130" s="14"/>
      <c r="FQ130" s="14"/>
      <c r="FR130" s="14"/>
      <c r="FS130" s="14"/>
      <c r="FT130" s="14"/>
      <c r="FU130" s="14"/>
      <c r="FV130" s="14"/>
      <c r="FW130" s="14"/>
      <c r="FX130" s="14"/>
      <c r="FY130" s="14"/>
      <c r="FZ130" s="14"/>
      <c r="GA130" s="14"/>
      <c r="GB130" s="14"/>
      <c r="GC130" s="14"/>
      <c r="GD130" s="14"/>
      <c r="GE130" s="14"/>
      <c r="GF130" s="14"/>
      <c r="GG130" s="14"/>
      <c r="GH130" s="14"/>
      <c r="GI130" s="14"/>
      <c r="GJ130" s="14"/>
      <c r="GK130" s="14"/>
      <c r="GL130" s="14"/>
      <c r="GM130" s="14"/>
      <c r="GN130" s="14"/>
      <c r="GO130" s="14"/>
      <c r="GP130" s="14"/>
      <c r="GQ130" s="14"/>
      <c r="GR130" s="14"/>
      <c r="GS130" s="14"/>
      <c r="GT130" s="14"/>
      <c r="GU130" s="14"/>
      <c r="GV130" s="14"/>
      <c r="GW130" s="14"/>
      <c r="GX130" s="14"/>
      <c r="GY130" s="14"/>
      <c r="GZ130" s="14"/>
      <c r="HA130" s="14"/>
      <c r="HB130" s="14"/>
      <c r="HC130" s="14"/>
      <c r="HD130" s="14"/>
      <c r="HE130" s="14"/>
      <c r="HF130" s="14"/>
      <c r="HG130" s="14"/>
      <c r="HH130" s="14"/>
      <c r="HI130" s="14"/>
      <c r="HJ130" s="14"/>
      <c r="HK130" s="14"/>
      <c r="HL130" s="14"/>
      <c r="HM130" s="14"/>
      <c r="HN130" s="14"/>
      <c r="HO130" s="14"/>
      <c r="HP130" s="14"/>
      <c r="HQ130" s="14"/>
      <c r="HR130" s="14"/>
      <c r="HS130" s="14"/>
      <c r="HT130" s="14"/>
      <c r="HU130" s="14"/>
      <c r="HV130" s="14"/>
      <c r="HW130" s="14"/>
      <c r="HX130" s="14"/>
      <c r="HY130" s="14"/>
      <c r="HZ130" s="14"/>
      <c r="IA130" s="14"/>
      <c r="IB130" s="14"/>
      <c r="IC130" s="14"/>
      <c r="ID130" s="14"/>
      <c r="IE130" s="14"/>
      <c r="IF130" s="14"/>
      <c r="IG130" s="14"/>
      <c r="IH130" s="14"/>
      <c r="II130" s="14"/>
      <c r="IJ130" s="14"/>
      <c r="IK130" s="14"/>
      <c r="IL130" s="14"/>
      <c r="IM130" s="14"/>
      <c r="IN130" s="14"/>
      <c r="IO130" s="14"/>
      <c r="IP130" s="14"/>
      <c r="IQ130" s="14"/>
      <c r="IR130" s="14"/>
      <c r="IS130" s="14"/>
      <c r="IT130" s="14"/>
      <c r="IU130" s="14"/>
      <c r="IV130" s="14"/>
    </row>
    <row r="131" spans="1:256" s="290" customFormat="1" ht="38.25" x14ac:dyDescent="0.3">
      <c r="A131" s="69"/>
      <c r="B131" s="8"/>
      <c r="C131" s="113" t="s">
        <v>1484</v>
      </c>
      <c r="D131" s="271" t="s">
        <v>44</v>
      </c>
      <c r="E131" s="63" t="s">
        <v>45</v>
      </c>
      <c r="F131" s="72">
        <v>7</v>
      </c>
      <c r="G131" s="46">
        <v>28000</v>
      </c>
      <c r="H131" s="355">
        <v>1</v>
      </c>
      <c r="I131" s="354">
        <v>1.1479999999999999</v>
      </c>
      <c r="J131" s="378">
        <f t="shared" si="10"/>
        <v>225000</v>
      </c>
      <c r="K131" s="39">
        <f t="shared" si="9"/>
        <v>225000</v>
      </c>
      <c r="L131" s="261">
        <f t="shared" si="6"/>
        <v>0</v>
      </c>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N131" s="14"/>
      <c r="DO131" s="14"/>
      <c r="DP131" s="14"/>
      <c r="DQ131" s="14"/>
      <c r="DR131" s="14"/>
      <c r="DS131" s="14"/>
      <c r="DT131" s="14"/>
      <c r="DU131" s="14"/>
      <c r="DV131" s="14"/>
      <c r="DW131" s="14"/>
      <c r="DX131" s="14"/>
      <c r="DY131" s="14"/>
      <c r="DZ131" s="14"/>
      <c r="EA131" s="14"/>
      <c r="EB131" s="14"/>
      <c r="EC131" s="14"/>
      <c r="ED131" s="14"/>
      <c r="EE131" s="14"/>
      <c r="EF131" s="14"/>
      <c r="EG131" s="14"/>
      <c r="EH131" s="14"/>
      <c r="EI131" s="14"/>
      <c r="EJ131" s="14"/>
      <c r="EK131" s="14"/>
      <c r="EL131" s="14"/>
      <c r="EM131" s="14"/>
      <c r="EN131" s="14"/>
      <c r="EO131" s="14"/>
      <c r="EP131" s="14"/>
      <c r="EQ131" s="14"/>
      <c r="ER131" s="14"/>
      <c r="ES131" s="14"/>
      <c r="ET131" s="14"/>
      <c r="EU131" s="14"/>
      <c r="EV131" s="14"/>
      <c r="EW131" s="14"/>
      <c r="EX131" s="14"/>
      <c r="EY131" s="14"/>
      <c r="EZ131" s="14"/>
      <c r="FA131" s="14"/>
      <c r="FB131" s="14"/>
      <c r="FC131" s="14"/>
      <c r="FD131" s="14"/>
      <c r="FE131" s="14"/>
      <c r="FF131" s="14"/>
      <c r="FG131" s="14"/>
      <c r="FH131" s="14"/>
      <c r="FI131" s="14"/>
      <c r="FJ131" s="14"/>
      <c r="FK131" s="14"/>
      <c r="FL131" s="14"/>
      <c r="FM131" s="14"/>
      <c r="FN131" s="14"/>
      <c r="FO131" s="14"/>
      <c r="FP131" s="14"/>
      <c r="FQ131" s="14"/>
      <c r="FR131" s="14"/>
      <c r="FS131" s="14"/>
      <c r="FT131" s="14"/>
      <c r="FU131" s="14"/>
      <c r="FV131" s="14"/>
      <c r="FW131" s="14"/>
      <c r="FX131" s="14"/>
      <c r="FY131" s="14"/>
      <c r="FZ131" s="14"/>
      <c r="GA131" s="14"/>
      <c r="GB131" s="14"/>
      <c r="GC131" s="14"/>
      <c r="GD131" s="14"/>
      <c r="GE131" s="14"/>
      <c r="GF131" s="14"/>
      <c r="GG131" s="14"/>
      <c r="GH131" s="14"/>
      <c r="GI131" s="14"/>
      <c r="GJ131" s="14"/>
      <c r="GK131" s="14"/>
      <c r="GL131" s="14"/>
      <c r="GM131" s="14"/>
      <c r="GN131" s="14"/>
      <c r="GO131" s="14"/>
      <c r="GP131" s="14"/>
      <c r="GQ131" s="14"/>
      <c r="GR131" s="14"/>
      <c r="GS131" s="14"/>
      <c r="GT131" s="14"/>
      <c r="GU131" s="14"/>
      <c r="GV131" s="14"/>
      <c r="GW131" s="14"/>
      <c r="GX131" s="14"/>
      <c r="GY131" s="14"/>
      <c r="GZ131" s="14"/>
      <c r="HA131" s="14"/>
      <c r="HB131" s="14"/>
      <c r="HC131" s="14"/>
      <c r="HD131" s="14"/>
      <c r="HE131" s="14"/>
      <c r="HF131" s="14"/>
      <c r="HG131" s="14"/>
      <c r="HH131" s="14"/>
      <c r="HI131" s="14"/>
      <c r="HJ131" s="14"/>
      <c r="HK131" s="14"/>
      <c r="HL131" s="14"/>
      <c r="HM131" s="14"/>
      <c r="HN131" s="14"/>
      <c r="HO131" s="14"/>
      <c r="HP131" s="14"/>
      <c r="HQ131" s="14"/>
      <c r="HR131" s="14"/>
      <c r="HS131" s="14"/>
      <c r="HT131" s="14"/>
      <c r="HU131" s="14"/>
      <c r="HV131" s="14"/>
      <c r="HW131" s="14"/>
      <c r="HX131" s="14"/>
      <c r="HY131" s="14"/>
      <c r="HZ131" s="14"/>
      <c r="IA131" s="14"/>
      <c r="IB131" s="14"/>
      <c r="IC131" s="14"/>
      <c r="ID131" s="14"/>
      <c r="IE131" s="14"/>
      <c r="IF131" s="14"/>
      <c r="IG131" s="14"/>
      <c r="IH131" s="14"/>
      <c r="II131" s="14"/>
      <c r="IJ131" s="14"/>
      <c r="IK131" s="14"/>
      <c r="IL131" s="14"/>
      <c r="IM131" s="14"/>
      <c r="IN131" s="14"/>
      <c r="IO131" s="14"/>
      <c r="IP131" s="14"/>
      <c r="IQ131" s="14"/>
      <c r="IR131" s="14"/>
      <c r="IS131" s="14"/>
      <c r="IT131" s="14"/>
      <c r="IU131" s="14"/>
      <c r="IV131" s="14"/>
    </row>
    <row r="132" spans="1:256" s="289" customFormat="1" ht="61.5" customHeight="1" x14ac:dyDescent="0.3">
      <c r="A132" s="149">
        <v>1</v>
      </c>
      <c r="B132" s="150" t="s">
        <v>1161</v>
      </c>
      <c r="C132" s="455" t="s">
        <v>1162</v>
      </c>
      <c r="D132" s="456"/>
      <c r="E132" s="456"/>
      <c r="F132" s="456"/>
      <c r="G132" s="456"/>
      <c r="H132" s="456"/>
      <c r="I132" s="457"/>
      <c r="J132" s="221">
        <f>SUM(J133:J152)</f>
        <v>744120000</v>
      </c>
      <c r="K132" s="32">
        <f>ROUND(G132*H132*I132*F132,-3)</f>
        <v>0</v>
      </c>
      <c r="L132" s="261">
        <f t="shared" ref="L132:L143" si="11">J132-K132</f>
        <v>744120000</v>
      </c>
      <c r="M132" s="24"/>
    </row>
    <row r="133" spans="1:256" s="290" customFormat="1" ht="56.25" x14ac:dyDescent="0.3">
      <c r="A133" s="211"/>
      <c r="B133" s="17"/>
      <c r="C133" s="25" t="s">
        <v>1163</v>
      </c>
      <c r="D133" s="267" t="s">
        <v>112</v>
      </c>
      <c r="E133" s="27" t="s">
        <v>23</v>
      </c>
      <c r="F133" s="35">
        <v>38.1</v>
      </c>
      <c r="G133" s="49">
        <v>11100000</v>
      </c>
      <c r="H133" s="323">
        <v>1</v>
      </c>
      <c r="I133" s="268">
        <v>1.4</v>
      </c>
      <c r="J133" s="32">
        <f>ROUND(F133*G133*H133*I133,-3)</f>
        <v>592074000</v>
      </c>
      <c r="K133" s="39">
        <f>ROUND(F133*G133*H133*I133,-3)</f>
        <v>592074000</v>
      </c>
      <c r="L133" s="262">
        <f t="shared" si="11"/>
        <v>0</v>
      </c>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c r="FC133" s="14"/>
      <c r="FD133" s="14"/>
      <c r="FE133" s="14"/>
      <c r="FF133" s="14"/>
      <c r="FG133" s="14"/>
      <c r="FH133" s="14"/>
      <c r="FI133" s="14"/>
      <c r="FJ133" s="14"/>
      <c r="FK133" s="14"/>
      <c r="FL133" s="14"/>
      <c r="FM133" s="14"/>
      <c r="FN133" s="14"/>
      <c r="FO133" s="14"/>
      <c r="FP133" s="14"/>
      <c r="FQ133" s="14"/>
      <c r="FR133" s="14"/>
      <c r="FS133" s="14"/>
      <c r="FT133" s="14"/>
      <c r="FU133" s="14"/>
      <c r="FV133" s="14"/>
      <c r="FW133" s="14"/>
      <c r="FX133" s="14"/>
      <c r="FY133" s="14"/>
      <c r="FZ133" s="14"/>
      <c r="GA133" s="14"/>
      <c r="GB133" s="14"/>
      <c r="GC133" s="14"/>
      <c r="GD133" s="14"/>
      <c r="GE133" s="14"/>
      <c r="GF133" s="14"/>
      <c r="GG133" s="14"/>
      <c r="GH133" s="14"/>
      <c r="GI133" s="14"/>
      <c r="GJ133" s="14"/>
      <c r="GK133" s="14"/>
      <c r="GL133" s="14"/>
      <c r="GM133" s="14"/>
      <c r="GN133" s="14"/>
      <c r="GO133" s="14"/>
      <c r="GP133" s="14"/>
      <c r="GQ133" s="14"/>
      <c r="GR133" s="14"/>
      <c r="GS133" s="14"/>
      <c r="GT133" s="14"/>
      <c r="GU133" s="14"/>
      <c r="GV133" s="14"/>
      <c r="GW133" s="14"/>
      <c r="GX133" s="14"/>
      <c r="GY133" s="14"/>
      <c r="GZ133" s="14"/>
      <c r="HA133" s="14"/>
      <c r="HB133" s="14"/>
      <c r="HC133" s="14"/>
      <c r="HD133" s="14"/>
      <c r="HE133" s="14"/>
      <c r="HF133" s="14"/>
      <c r="HG133" s="14"/>
      <c r="HH133" s="14"/>
      <c r="HI133" s="14"/>
      <c r="HJ133" s="14"/>
      <c r="HK133" s="14"/>
      <c r="HL133" s="14"/>
      <c r="HM133" s="14"/>
      <c r="HN133" s="14"/>
      <c r="HO133" s="14"/>
      <c r="HP133" s="14"/>
      <c r="HQ133" s="14"/>
      <c r="HR133" s="14"/>
      <c r="HS133" s="14"/>
      <c r="HT133" s="14"/>
      <c r="HU133" s="14"/>
      <c r="HV133" s="14"/>
      <c r="HW133" s="14"/>
      <c r="HX133" s="14"/>
      <c r="HY133" s="14"/>
      <c r="HZ133" s="14"/>
      <c r="IA133" s="14"/>
      <c r="IB133" s="14"/>
      <c r="IC133" s="14"/>
      <c r="ID133" s="14"/>
      <c r="IE133" s="14"/>
      <c r="IF133" s="14"/>
      <c r="IG133" s="14"/>
      <c r="IH133" s="14"/>
      <c r="II133" s="14"/>
      <c r="IJ133" s="14"/>
      <c r="IK133" s="14"/>
      <c r="IL133" s="14"/>
      <c r="IM133" s="14"/>
      <c r="IN133" s="14"/>
      <c r="IO133" s="14"/>
      <c r="IP133" s="14"/>
      <c r="IQ133" s="14"/>
      <c r="IR133" s="14"/>
      <c r="IS133" s="14"/>
      <c r="IT133" s="14"/>
      <c r="IU133" s="14"/>
      <c r="IV133" s="14"/>
    </row>
    <row r="134" spans="1:256" s="289" customFormat="1" ht="90" customHeight="1" x14ac:dyDescent="0.25">
      <c r="A134" s="67"/>
      <c r="B134" s="68"/>
      <c r="C134" s="25" t="s">
        <v>1062</v>
      </c>
      <c r="D134" s="267" t="s">
        <v>112</v>
      </c>
      <c r="E134" s="27" t="s">
        <v>23</v>
      </c>
      <c r="F134" s="35">
        <v>4.4000000000000004</v>
      </c>
      <c r="G134" s="464" t="s">
        <v>1063</v>
      </c>
      <c r="H134" s="464"/>
      <c r="I134" s="465"/>
      <c r="J134" s="227"/>
      <c r="K134" s="32"/>
      <c r="L134" s="261">
        <f t="shared" si="11"/>
        <v>0</v>
      </c>
      <c r="M134" s="251"/>
    </row>
    <row r="135" spans="1:256" s="289" customFormat="1" ht="38.25" x14ac:dyDescent="0.3">
      <c r="A135" s="69"/>
      <c r="B135" s="8"/>
      <c r="C135" s="82" t="s">
        <v>1164</v>
      </c>
      <c r="D135" s="267" t="s">
        <v>26</v>
      </c>
      <c r="E135" s="27" t="s">
        <v>23</v>
      </c>
      <c r="F135" s="89">
        <f>2.6*3</f>
        <v>7.8000000000000007</v>
      </c>
      <c r="G135" s="29">
        <v>679000</v>
      </c>
      <c r="H135" s="45">
        <v>1</v>
      </c>
      <c r="I135" s="31">
        <v>1.1479999999999999</v>
      </c>
      <c r="J135" s="223">
        <f t="shared" ref="J135:J152" si="12">ROUND(F135*G135*H135*I135,-3)</f>
        <v>6080000</v>
      </c>
      <c r="K135" s="32">
        <f t="shared" ref="K135:K152" si="13">ROUND(G135*H135*I135*F135,-3)</f>
        <v>6080000</v>
      </c>
      <c r="L135" s="261">
        <f t="shared" si="11"/>
        <v>0</v>
      </c>
      <c r="M135" s="14"/>
    </row>
    <row r="136" spans="1:256" s="289" customFormat="1" ht="37.5" x14ac:dyDescent="0.3">
      <c r="A136" s="69"/>
      <c r="B136" s="8"/>
      <c r="C136" s="82" t="s">
        <v>1165</v>
      </c>
      <c r="D136" s="270" t="s">
        <v>51</v>
      </c>
      <c r="E136" s="27" t="s">
        <v>23</v>
      </c>
      <c r="F136" s="72">
        <f>6*8.3</f>
        <v>49.800000000000004</v>
      </c>
      <c r="G136" s="29">
        <v>453000</v>
      </c>
      <c r="H136" s="45">
        <v>1</v>
      </c>
      <c r="I136" s="31">
        <v>1.1479999999999999</v>
      </c>
      <c r="J136" s="223">
        <f t="shared" si="12"/>
        <v>25898000</v>
      </c>
      <c r="K136" s="32">
        <f t="shared" si="13"/>
        <v>25898000</v>
      </c>
      <c r="L136" s="261">
        <f t="shared" si="11"/>
        <v>0</v>
      </c>
      <c r="M136" s="14"/>
    </row>
    <row r="137" spans="1:256" s="289" customFormat="1" ht="25.5" x14ac:dyDescent="0.3">
      <c r="A137" s="69"/>
      <c r="B137" s="8"/>
      <c r="C137" s="82" t="s">
        <v>1166</v>
      </c>
      <c r="D137" s="271" t="s">
        <v>54</v>
      </c>
      <c r="E137" s="27" t="s">
        <v>23</v>
      </c>
      <c r="F137" s="72">
        <f>4.1*2.8</f>
        <v>11.479999999999999</v>
      </c>
      <c r="G137" s="46">
        <v>213000</v>
      </c>
      <c r="H137" s="45">
        <v>1</v>
      </c>
      <c r="I137" s="31">
        <v>1.1479999999999999</v>
      </c>
      <c r="J137" s="223">
        <f t="shared" si="12"/>
        <v>2807000</v>
      </c>
      <c r="K137" s="32">
        <f t="shared" si="13"/>
        <v>2807000</v>
      </c>
      <c r="L137" s="261">
        <f t="shared" si="11"/>
        <v>0</v>
      </c>
      <c r="M137" s="14"/>
    </row>
    <row r="138" spans="1:256" s="289" customFormat="1" ht="38.25" x14ac:dyDescent="0.3">
      <c r="A138" s="69"/>
      <c r="B138" s="8"/>
      <c r="C138" s="82" t="s">
        <v>1167</v>
      </c>
      <c r="D138" s="271" t="s">
        <v>32</v>
      </c>
      <c r="E138" s="27" t="s">
        <v>23</v>
      </c>
      <c r="F138" s="72">
        <f>5.1*6</f>
        <v>30.599999999999998</v>
      </c>
      <c r="G138" s="29">
        <v>215000</v>
      </c>
      <c r="H138" s="45">
        <v>0.8</v>
      </c>
      <c r="I138" s="31">
        <v>1.1479999999999999</v>
      </c>
      <c r="J138" s="223">
        <f t="shared" si="12"/>
        <v>6042000</v>
      </c>
      <c r="K138" s="32">
        <f t="shared" si="13"/>
        <v>6042000</v>
      </c>
      <c r="L138" s="261">
        <f t="shared" si="11"/>
        <v>0</v>
      </c>
      <c r="M138" s="14"/>
    </row>
    <row r="139" spans="1:256" s="289" customFormat="1" ht="38.25" x14ac:dyDescent="0.3">
      <c r="A139" s="69"/>
      <c r="B139" s="8"/>
      <c r="C139" s="82" t="s">
        <v>1168</v>
      </c>
      <c r="D139" s="271" t="s">
        <v>32</v>
      </c>
      <c r="E139" s="27" t="s">
        <v>23</v>
      </c>
      <c r="F139" s="72">
        <f>7.3*6</f>
        <v>43.8</v>
      </c>
      <c r="G139" s="29">
        <v>215000</v>
      </c>
      <c r="H139" s="45">
        <v>1</v>
      </c>
      <c r="I139" s="31">
        <v>1.1479999999999999</v>
      </c>
      <c r="J139" s="223">
        <f t="shared" si="12"/>
        <v>10811000</v>
      </c>
      <c r="K139" s="32">
        <f t="shared" si="13"/>
        <v>10811000</v>
      </c>
      <c r="L139" s="261">
        <f t="shared" si="11"/>
        <v>0</v>
      </c>
      <c r="M139" s="14"/>
    </row>
    <row r="140" spans="1:256" s="289" customFormat="1" ht="40.5" customHeight="1" x14ac:dyDescent="0.3">
      <c r="A140" s="69"/>
      <c r="B140" s="8"/>
      <c r="C140" s="82" t="s">
        <v>1169</v>
      </c>
      <c r="D140" s="270" t="s">
        <v>101</v>
      </c>
      <c r="E140" s="71" t="s">
        <v>23</v>
      </c>
      <c r="F140" s="72">
        <f>3.1*4.3</f>
        <v>13.33</v>
      </c>
      <c r="G140" s="29">
        <v>339000</v>
      </c>
      <c r="H140" s="45">
        <v>1</v>
      </c>
      <c r="I140" s="31">
        <v>1.1479999999999999</v>
      </c>
      <c r="J140" s="223">
        <f t="shared" si="12"/>
        <v>5188000</v>
      </c>
      <c r="K140" s="32">
        <f t="shared" si="13"/>
        <v>5188000</v>
      </c>
      <c r="L140" s="261">
        <f t="shared" si="11"/>
        <v>0</v>
      </c>
      <c r="M140" s="14"/>
    </row>
    <row r="141" spans="1:256" s="289" customFormat="1" ht="36.75" customHeight="1" x14ac:dyDescent="0.3">
      <c r="A141" s="69"/>
      <c r="B141" s="8"/>
      <c r="C141" s="82" t="s">
        <v>1170</v>
      </c>
      <c r="D141" s="270" t="s">
        <v>52</v>
      </c>
      <c r="E141" s="96" t="s">
        <v>91</v>
      </c>
      <c r="F141" s="72">
        <f>2*3+1.8*4.3</f>
        <v>13.74</v>
      </c>
      <c r="G141" s="11" t="s">
        <v>53</v>
      </c>
      <c r="H141" s="45">
        <v>1</v>
      </c>
      <c r="I141" s="31">
        <v>1.1479999999999999</v>
      </c>
      <c r="J141" s="223">
        <f t="shared" si="12"/>
        <v>3723000</v>
      </c>
      <c r="K141" s="32">
        <f t="shared" si="13"/>
        <v>3723000</v>
      </c>
      <c r="L141" s="261">
        <f t="shared" si="11"/>
        <v>0</v>
      </c>
      <c r="M141" s="14"/>
    </row>
    <row r="142" spans="1:256" s="289" customFormat="1" ht="38.25" x14ac:dyDescent="0.3">
      <c r="A142" s="69"/>
      <c r="B142" s="8"/>
      <c r="C142" s="143" t="s">
        <v>1171</v>
      </c>
      <c r="D142" s="267" t="s">
        <v>56</v>
      </c>
      <c r="E142" s="27" t="s">
        <v>23</v>
      </c>
      <c r="F142" s="28">
        <f>3*3</f>
        <v>9</v>
      </c>
      <c r="G142" s="29">
        <v>735000</v>
      </c>
      <c r="H142" s="45">
        <v>1</v>
      </c>
      <c r="I142" s="31">
        <v>1.1479999999999999</v>
      </c>
      <c r="J142" s="223">
        <f t="shared" si="12"/>
        <v>7594000</v>
      </c>
      <c r="K142" s="32">
        <f t="shared" si="13"/>
        <v>7594000</v>
      </c>
      <c r="L142" s="261">
        <f t="shared" si="11"/>
        <v>0</v>
      </c>
      <c r="M142" s="14"/>
    </row>
    <row r="143" spans="1:256" s="289" customFormat="1" ht="25.5" x14ac:dyDescent="0.3">
      <c r="A143" s="104"/>
      <c r="B143" s="105"/>
      <c r="C143" s="113" t="s">
        <v>1172</v>
      </c>
      <c r="D143" s="270" t="s">
        <v>29</v>
      </c>
      <c r="E143" s="27" t="s">
        <v>23</v>
      </c>
      <c r="F143" s="123">
        <f>(4.4*7.7)*2</f>
        <v>67.760000000000005</v>
      </c>
      <c r="G143" s="29">
        <v>792000</v>
      </c>
      <c r="H143" s="45">
        <v>1</v>
      </c>
      <c r="I143" s="31">
        <v>1.1479999999999999</v>
      </c>
      <c r="J143" s="223">
        <f t="shared" si="12"/>
        <v>61608000</v>
      </c>
      <c r="K143" s="32">
        <f t="shared" si="13"/>
        <v>61608000</v>
      </c>
      <c r="L143" s="261">
        <f t="shared" si="11"/>
        <v>0</v>
      </c>
      <c r="M143" s="14"/>
    </row>
    <row r="144" spans="1:256" s="289" customFormat="1" ht="25.5" x14ac:dyDescent="0.3">
      <c r="A144" s="69"/>
      <c r="B144" s="8"/>
      <c r="C144" s="82" t="s">
        <v>1173</v>
      </c>
      <c r="D144" s="270" t="s">
        <v>55</v>
      </c>
      <c r="E144" s="27" t="s">
        <v>23</v>
      </c>
      <c r="F144" s="91">
        <f>6*1.2</f>
        <v>7.1999999999999993</v>
      </c>
      <c r="G144" s="29">
        <v>905000</v>
      </c>
      <c r="H144" s="45">
        <v>1</v>
      </c>
      <c r="I144" s="79">
        <v>1.1479999999999999</v>
      </c>
      <c r="J144" s="223">
        <f t="shared" si="12"/>
        <v>7480000</v>
      </c>
      <c r="K144" s="32">
        <f t="shared" si="13"/>
        <v>7480000</v>
      </c>
      <c r="L144" s="261"/>
      <c r="M144" s="14"/>
    </row>
    <row r="145" spans="1:256" s="289" customFormat="1" ht="25.5" x14ac:dyDescent="0.3">
      <c r="A145" s="69"/>
      <c r="B145" s="8"/>
      <c r="C145" s="82" t="s">
        <v>1174</v>
      </c>
      <c r="D145" s="271" t="s">
        <v>54</v>
      </c>
      <c r="E145" s="27" t="s">
        <v>23</v>
      </c>
      <c r="F145" s="72">
        <f>3*1+4.3*1.2+3*3+0.9*6</f>
        <v>22.560000000000002</v>
      </c>
      <c r="G145" s="46">
        <v>213000</v>
      </c>
      <c r="H145" s="45">
        <v>1</v>
      </c>
      <c r="I145" s="57">
        <v>1.1479999999999999</v>
      </c>
      <c r="J145" s="223">
        <f t="shared" si="12"/>
        <v>5516000</v>
      </c>
      <c r="K145" s="32">
        <f t="shared" si="13"/>
        <v>5516000</v>
      </c>
      <c r="L145" s="261">
        <f t="shared" ref="L145:L167" si="14">J145-K145</f>
        <v>0</v>
      </c>
      <c r="M145" s="14"/>
    </row>
    <row r="146" spans="1:256" s="289" customFormat="1" ht="35.25" customHeight="1" x14ac:dyDescent="0.3">
      <c r="A146" s="69"/>
      <c r="B146" s="8"/>
      <c r="C146" s="82" t="s">
        <v>1175</v>
      </c>
      <c r="D146" s="270" t="s">
        <v>28</v>
      </c>
      <c r="E146" s="27" t="s">
        <v>23</v>
      </c>
      <c r="F146" s="72">
        <f>(0.4*7.7)*2</f>
        <v>6.16</v>
      </c>
      <c r="G146" s="11">
        <v>396000</v>
      </c>
      <c r="H146" s="45">
        <v>1</v>
      </c>
      <c r="I146" s="31">
        <v>1.1479999999999999</v>
      </c>
      <c r="J146" s="223">
        <f t="shared" si="12"/>
        <v>2800000</v>
      </c>
      <c r="K146" s="32">
        <f t="shared" si="13"/>
        <v>2800000</v>
      </c>
      <c r="L146" s="262">
        <f t="shared" si="14"/>
        <v>0</v>
      </c>
      <c r="M146" s="14"/>
    </row>
    <row r="147" spans="1:256" s="289" customFormat="1" ht="38.25" x14ac:dyDescent="0.3">
      <c r="A147" s="153"/>
      <c r="B147" s="154"/>
      <c r="C147" s="155" t="s">
        <v>1176</v>
      </c>
      <c r="D147" s="267" t="s">
        <v>24</v>
      </c>
      <c r="E147" s="27" t="s">
        <v>25</v>
      </c>
      <c r="F147" s="156">
        <f>(0.2*0.2*4.2)*6</f>
        <v>1.0080000000000002</v>
      </c>
      <c r="G147" s="29">
        <v>2828000</v>
      </c>
      <c r="H147" s="45">
        <v>1</v>
      </c>
      <c r="I147" s="31">
        <v>1.1479999999999999</v>
      </c>
      <c r="J147" s="223">
        <f t="shared" si="12"/>
        <v>3273000</v>
      </c>
      <c r="K147" s="32">
        <f t="shared" si="13"/>
        <v>3273000</v>
      </c>
      <c r="L147" s="261">
        <f t="shared" si="14"/>
        <v>0</v>
      </c>
      <c r="M147" s="24"/>
    </row>
    <row r="148" spans="1:256" s="289" customFormat="1" ht="39" customHeight="1" x14ac:dyDescent="0.3">
      <c r="A148" s="69"/>
      <c r="B148" s="8"/>
      <c r="C148" s="82" t="s">
        <v>1177</v>
      </c>
      <c r="D148" s="272" t="s">
        <v>33</v>
      </c>
      <c r="E148" s="27" t="s">
        <v>23</v>
      </c>
      <c r="F148" s="72">
        <f>0.6*6</f>
        <v>3.5999999999999996</v>
      </c>
      <c r="G148" s="29">
        <v>453000</v>
      </c>
      <c r="H148" s="45">
        <v>1</v>
      </c>
      <c r="I148" s="31">
        <v>1.1479999999999999</v>
      </c>
      <c r="J148" s="223">
        <f t="shared" si="12"/>
        <v>1872000</v>
      </c>
      <c r="K148" s="32">
        <f t="shared" si="13"/>
        <v>1872000</v>
      </c>
      <c r="L148" s="261">
        <f t="shared" si="14"/>
        <v>0</v>
      </c>
      <c r="M148" s="14"/>
    </row>
    <row r="149" spans="1:256" s="289" customFormat="1" ht="25.5" x14ac:dyDescent="0.3">
      <c r="A149" s="69"/>
      <c r="B149" s="8"/>
      <c r="C149" s="82" t="s">
        <v>1178</v>
      </c>
      <c r="D149" s="192" t="s">
        <v>58</v>
      </c>
      <c r="E149" s="27" t="s">
        <v>35</v>
      </c>
      <c r="F149" s="98">
        <v>1</v>
      </c>
      <c r="G149" s="29">
        <v>266280</v>
      </c>
      <c r="H149" s="50">
        <v>1</v>
      </c>
      <c r="I149" s="51">
        <v>1</v>
      </c>
      <c r="J149" s="223">
        <f t="shared" si="12"/>
        <v>266000</v>
      </c>
      <c r="K149" s="32">
        <f t="shared" si="13"/>
        <v>266000</v>
      </c>
      <c r="L149" s="261">
        <f t="shared" si="14"/>
        <v>0</v>
      </c>
      <c r="M149" s="14"/>
    </row>
    <row r="150" spans="1:256" s="289" customFormat="1" ht="25.5" x14ac:dyDescent="0.3">
      <c r="A150" s="69"/>
      <c r="B150" s="8"/>
      <c r="C150" s="82" t="s">
        <v>1179</v>
      </c>
      <c r="D150" s="271" t="s">
        <v>205</v>
      </c>
      <c r="E150" s="27" t="s">
        <v>35</v>
      </c>
      <c r="F150" s="98">
        <v>2</v>
      </c>
      <c r="G150" s="29">
        <v>223240</v>
      </c>
      <c r="H150" s="50">
        <v>1</v>
      </c>
      <c r="I150" s="51">
        <v>1</v>
      </c>
      <c r="J150" s="223">
        <f t="shared" si="12"/>
        <v>446000</v>
      </c>
      <c r="K150" s="32">
        <f t="shared" si="13"/>
        <v>446000</v>
      </c>
      <c r="L150" s="261">
        <f t="shared" si="14"/>
        <v>0</v>
      </c>
      <c r="M150" s="14"/>
    </row>
    <row r="151" spans="1:256" s="289" customFormat="1" ht="38.25" x14ac:dyDescent="0.3">
      <c r="A151" s="69"/>
      <c r="B151" s="8"/>
      <c r="C151" s="82" t="s">
        <v>111</v>
      </c>
      <c r="D151" s="271" t="s">
        <v>47</v>
      </c>
      <c r="E151" s="63" t="s">
        <v>45</v>
      </c>
      <c r="F151" s="77">
        <v>10</v>
      </c>
      <c r="G151" s="46">
        <v>28000</v>
      </c>
      <c r="H151" s="45">
        <v>1</v>
      </c>
      <c r="I151" s="31">
        <v>1.1479999999999999</v>
      </c>
      <c r="J151" s="223">
        <f t="shared" si="12"/>
        <v>321000</v>
      </c>
      <c r="K151" s="32">
        <f t="shared" si="13"/>
        <v>321000</v>
      </c>
      <c r="L151" s="261">
        <f t="shared" si="14"/>
        <v>0</v>
      </c>
      <c r="M151" s="14"/>
    </row>
    <row r="152" spans="1:256" s="289" customFormat="1" ht="38.25" x14ac:dyDescent="0.3">
      <c r="A152" s="69"/>
      <c r="B152" s="8"/>
      <c r="C152" s="82" t="s">
        <v>110</v>
      </c>
      <c r="D152" s="271" t="s">
        <v>47</v>
      </c>
      <c r="E152" s="63" t="s">
        <v>45</v>
      </c>
      <c r="F152" s="77">
        <v>10</v>
      </c>
      <c r="G152" s="46">
        <v>28000</v>
      </c>
      <c r="H152" s="45">
        <v>1</v>
      </c>
      <c r="I152" s="31">
        <v>1.1479999999999999</v>
      </c>
      <c r="J152" s="223">
        <f t="shared" si="12"/>
        <v>321000</v>
      </c>
      <c r="K152" s="32">
        <f t="shared" si="13"/>
        <v>321000</v>
      </c>
      <c r="L152" s="261">
        <f t="shared" si="14"/>
        <v>0</v>
      </c>
      <c r="M152" s="14"/>
    </row>
    <row r="153" spans="1:256" s="290" customFormat="1" ht="49.5" customHeight="1" x14ac:dyDescent="0.3">
      <c r="A153" s="211">
        <v>5</v>
      </c>
      <c r="B153" s="17" t="s">
        <v>1485</v>
      </c>
      <c r="C153" s="433" t="s">
        <v>1486</v>
      </c>
      <c r="D153" s="434"/>
      <c r="E153" s="434"/>
      <c r="F153" s="434"/>
      <c r="G153" s="434"/>
      <c r="H153" s="434"/>
      <c r="I153" s="435"/>
      <c r="J153" s="349">
        <f>SUM(J154:J167)</f>
        <v>1059937000</v>
      </c>
      <c r="K153" s="39">
        <f t="shared" ref="K153:K167" si="15">ROUND(F153*G153*H153*I153,-3)</f>
        <v>0</v>
      </c>
      <c r="L153" s="261">
        <f t="shared" si="14"/>
        <v>1059937000</v>
      </c>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c r="HM153" s="14"/>
      <c r="HN153" s="14"/>
      <c r="HO153" s="14"/>
      <c r="HP153" s="14"/>
      <c r="HQ153" s="14"/>
      <c r="HR153" s="14"/>
      <c r="HS153" s="14"/>
      <c r="HT153" s="14"/>
      <c r="HU153" s="14"/>
      <c r="HV153" s="14"/>
      <c r="HW153" s="14"/>
      <c r="HX153" s="14"/>
      <c r="HY153" s="14"/>
      <c r="HZ153" s="14"/>
      <c r="IA153" s="14"/>
      <c r="IB153" s="14"/>
      <c r="IC153" s="14"/>
      <c r="ID153" s="14"/>
      <c r="IE153" s="14"/>
      <c r="IF153" s="14"/>
      <c r="IG153" s="14"/>
      <c r="IH153" s="14"/>
      <c r="II153" s="14"/>
      <c r="IJ153" s="14"/>
      <c r="IK153" s="14"/>
      <c r="IL153" s="14"/>
      <c r="IM153" s="14"/>
      <c r="IN153" s="14"/>
      <c r="IO153" s="14"/>
      <c r="IP153" s="14"/>
      <c r="IQ153" s="14"/>
      <c r="IR153" s="14"/>
      <c r="IS153" s="14"/>
      <c r="IT153" s="14"/>
      <c r="IU153" s="14"/>
      <c r="IV153" s="14"/>
    </row>
    <row r="154" spans="1:256" s="397" customFormat="1" ht="56.25" x14ac:dyDescent="0.3">
      <c r="A154" s="414"/>
      <c r="B154" s="415"/>
      <c r="C154" s="128" t="s">
        <v>1440</v>
      </c>
      <c r="D154" s="277" t="s">
        <v>112</v>
      </c>
      <c r="E154" s="182" t="s">
        <v>828</v>
      </c>
      <c r="F154" s="309">
        <v>50.1</v>
      </c>
      <c r="G154" s="350">
        <v>11100000</v>
      </c>
      <c r="H154" s="351">
        <v>1</v>
      </c>
      <c r="I154" s="352">
        <v>1.4</v>
      </c>
      <c r="J154" s="130">
        <f>ROUND(F154*G154*H154*I154,-3)</f>
        <v>778554000</v>
      </c>
      <c r="K154" s="39">
        <f t="shared" si="15"/>
        <v>778554000</v>
      </c>
      <c r="L154" s="395">
        <f t="shared" si="14"/>
        <v>0</v>
      </c>
      <c r="M154" s="396"/>
      <c r="N154" s="396"/>
      <c r="O154" s="396"/>
      <c r="P154" s="396"/>
      <c r="Q154" s="396"/>
      <c r="R154" s="396"/>
      <c r="S154" s="396"/>
      <c r="T154" s="396"/>
      <c r="U154" s="396"/>
      <c r="V154" s="396"/>
      <c r="W154" s="396"/>
      <c r="X154" s="396"/>
      <c r="Y154" s="396"/>
      <c r="Z154" s="396"/>
      <c r="AA154" s="396"/>
      <c r="AB154" s="396"/>
      <c r="AC154" s="396"/>
      <c r="AD154" s="396"/>
      <c r="AE154" s="396"/>
      <c r="AF154" s="396"/>
      <c r="AG154" s="396"/>
      <c r="AH154" s="396"/>
      <c r="AI154" s="396"/>
      <c r="AJ154" s="396"/>
      <c r="AK154" s="396"/>
      <c r="AL154" s="396"/>
      <c r="AM154" s="396"/>
      <c r="AN154" s="396"/>
      <c r="AO154" s="396"/>
      <c r="AP154" s="396"/>
      <c r="AQ154" s="396"/>
      <c r="AR154" s="396"/>
      <c r="AS154" s="396"/>
      <c r="AT154" s="396"/>
      <c r="AU154" s="396"/>
      <c r="AV154" s="396"/>
      <c r="AW154" s="396"/>
      <c r="AX154" s="396"/>
      <c r="AY154" s="396"/>
      <c r="AZ154" s="396"/>
      <c r="BA154" s="396"/>
      <c r="BB154" s="396"/>
      <c r="BC154" s="396"/>
      <c r="BD154" s="396"/>
      <c r="BE154" s="396"/>
      <c r="BF154" s="396"/>
      <c r="BG154" s="396"/>
      <c r="BH154" s="396"/>
      <c r="BI154" s="396"/>
      <c r="BJ154" s="396"/>
      <c r="BK154" s="396"/>
      <c r="BL154" s="396"/>
      <c r="BM154" s="396"/>
      <c r="BN154" s="396"/>
      <c r="BO154" s="396"/>
      <c r="BP154" s="396"/>
      <c r="BQ154" s="396"/>
      <c r="BR154" s="396"/>
      <c r="BS154" s="396"/>
      <c r="BT154" s="396"/>
      <c r="BU154" s="396"/>
      <c r="BV154" s="396"/>
      <c r="BW154" s="396"/>
      <c r="BX154" s="396"/>
      <c r="BY154" s="396"/>
      <c r="BZ154" s="396"/>
      <c r="CA154" s="396"/>
      <c r="CB154" s="396"/>
      <c r="CC154" s="396"/>
      <c r="CD154" s="396"/>
      <c r="CE154" s="396"/>
      <c r="CF154" s="396"/>
      <c r="CG154" s="396"/>
      <c r="CH154" s="396"/>
      <c r="CI154" s="396"/>
      <c r="CJ154" s="396"/>
      <c r="CK154" s="396"/>
      <c r="CL154" s="396"/>
      <c r="CM154" s="396"/>
      <c r="CN154" s="396"/>
      <c r="CO154" s="396"/>
      <c r="CP154" s="396"/>
      <c r="CQ154" s="396"/>
      <c r="CR154" s="396"/>
      <c r="CS154" s="396"/>
      <c r="CT154" s="396"/>
      <c r="CU154" s="396"/>
      <c r="CV154" s="396"/>
      <c r="CW154" s="396"/>
      <c r="CX154" s="396"/>
      <c r="CY154" s="396"/>
      <c r="CZ154" s="396"/>
      <c r="DA154" s="396"/>
      <c r="DB154" s="396"/>
      <c r="DC154" s="396"/>
      <c r="DD154" s="396"/>
      <c r="DE154" s="396"/>
      <c r="DF154" s="396"/>
      <c r="DG154" s="396"/>
      <c r="DH154" s="396"/>
      <c r="DI154" s="396"/>
      <c r="DJ154" s="396"/>
      <c r="DK154" s="396"/>
      <c r="DL154" s="396"/>
      <c r="DM154" s="396"/>
      <c r="DN154" s="396"/>
      <c r="DO154" s="396"/>
      <c r="DP154" s="396"/>
      <c r="DQ154" s="396"/>
      <c r="DR154" s="396"/>
      <c r="DS154" s="396"/>
      <c r="DT154" s="396"/>
      <c r="DU154" s="396"/>
      <c r="DV154" s="396"/>
      <c r="DW154" s="396"/>
      <c r="DX154" s="396"/>
      <c r="DY154" s="396"/>
      <c r="DZ154" s="396"/>
      <c r="EA154" s="396"/>
      <c r="EB154" s="396"/>
      <c r="EC154" s="396"/>
      <c r="ED154" s="396"/>
      <c r="EE154" s="396"/>
      <c r="EF154" s="396"/>
      <c r="EG154" s="396"/>
      <c r="EH154" s="396"/>
      <c r="EI154" s="396"/>
      <c r="EJ154" s="396"/>
      <c r="EK154" s="396"/>
      <c r="EL154" s="396"/>
      <c r="EM154" s="396"/>
      <c r="EN154" s="396"/>
      <c r="EO154" s="396"/>
      <c r="EP154" s="396"/>
      <c r="EQ154" s="396"/>
      <c r="ER154" s="396"/>
      <c r="ES154" s="396"/>
      <c r="ET154" s="396"/>
      <c r="EU154" s="396"/>
      <c r="EV154" s="396"/>
      <c r="EW154" s="396"/>
      <c r="EX154" s="396"/>
      <c r="EY154" s="396"/>
      <c r="EZ154" s="396"/>
      <c r="FA154" s="396"/>
      <c r="FB154" s="396"/>
      <c r="FC154" s="396"/>
      <c r="FD154" s="396"/>
      <c r="FE154" s="396"/>
      <c r="FF154" s="396"/>
      <c r="FG154" s="396"/>
      <c r="FH154" s="396"/>
      <c r="FI154" s="396"/>
      <c r="FJ154" s="396"/>
      <c r="FK154" s="396"/>
      <c r="FL154" s="396"/>
      <c r="FM154" s="396"/>
      <c r="FN154" s="396"/>
      <c r="FO154" s="396"/>
      <c r="FP154" s="396"/>
      <c r="FQ154" s="396"/>
      <c r="FR154" s="396"/>
      <c r="FS154" s="396"/>
      <c r="FT154" s="396"/>
      <c r="FU154" s="396"/>
      <c r="FV154" s="396"/>
      <c r="FW154" s="396"/>
      <c r="FX154" s="396"/>
      <c r="FY154" s="396"/>
      <c r="FZ154" s="396"/>
      <c r="GA154" s="396"/>
      <c r="GB154" s="396"/>
      <c r="GC154" s="396"/>
      <c r="GD154" s="396"/>
      <c r="GE154" s="396"/>
      <c r="GF154" s="396"/>
      <c r="GG154" s="396"/>
      <c r="GH154" s="396"/>
      <c r="GI154" s="396"/>
      <c r="GJ154" s="396"/>
      <c r="GK154" s="396"/>
      <c r="GL154" s="396"/>
      <c r="GM154" s="396"/>
      <c r="GN154" s="396"/>
      <c r="GO154" s="396"/>
      <c r="GP154" s="396"/>
      <c r="GQ154" s="396"/>
      <c r="GR154" s="396"/>
      <c r="GS154" s="396"/>
      <c r="GT154" s="396"/>
      <c r="GU154" s="396"/>
      <c r="GV154" s="396"/>
      <c r="GW154" s="396"/>
      <c r="GX154" s="396"/>
      <c r="GY154" s="396"/>
      <c r="GZ154" s="396"/>
      <c r="HA154" s="396"/>
      <c r="HB154" s="396"/>
      <c r="HC154" s="396"/>
      <c r="HD154" s="396"/>
      <c r="HE154" s="396"/>
      <c r="HF154" s="396"/>
      <c r="HG154" s="396"/>
      <c r="HH154" s="396"/>
      <c r="HI154" s="396"/>
      <c r="HJ154" s="396"/>
      <c r="HK154" s="396"/>
      <c r="HL154" s="396"/>
      <c r="HM154" s="396"/>
      <c r="HN154" s="396"/>
      <c r="HO154" s="396"/>
      <c r="HP154" s="396"/>
      <c r="HQ154" s="396"/>
      <c r="HR154" s="396"/>
      <c r="HS154" s="396"/>
      <c r="HT154" s="396"/>
      <c r="HU154" s="396"/>
      <c r="HV154" s="396"/>
      <c r="HW154" s="396"/>
      <c r="HX154" s="396"/>
      <c r="HY154" s="396"/>
      <c r="HZ154" s="396"/>
      <c r="IA154" s="396"/>
      <c r="IB154" s="396"/>
      <c r="IC154" s="396"/>
      <c r="ID154" s="396"/>
      <c r="IE154" s="396"/>
      <c r="IF154" s="396"/>
      <c r="IG154" s="396"/>
      <c r="IH154" s="396"/>
      <c r="II154" s="396"/>
      <c r="IJ154" s="396"/>
      <c r="IK154" s="396"/>
      <c r="IL154" s="396"/>
      <c r="IM154" s="396"/>
      <c r="IN154" s="396"/>
      <c r="IO154" s="396"/>
      <c r="IP154" s="396"/>
      <c r="IQ154" s="396"/>
      <c r="IR154" s="396"/>
      <c r="IS154" s="396"/>
      <c r="IT154" s="396"/>
      <c r="IU154" s="396"/>
      <c r="IV154" s="396"/>
    </row>
    <row r="155" spans="1:256" s="397" customFormat="1" ht="93" customHeight="1" x14ac:dyDescent="0.3">
      <c r="A155" s="414"/>
      <c r="B155" s="415"/>
      <c r="C155" s="128" t="s">
        <v>1062</v>
      </c>
      <c r="D155" s="277" t="s">
        <v>112</v>
      </c>
      <c r="E155" s="182" t="s">
        <v>828</v>
      </c>
      <c r="F155" s="309">
        <v>2.8</v>
      </c>
      <c r="G155" s="453" t="s">
        <v>1441</v>
      </c>
      <c r="H155" s="453"/>
      <c r="I155" s="454"/>
      <c r="J155" s="398"/>
      <c r="K155" s="39"/>
      <c r="L155" s="395">
        <f t="shared" si="14"/>
        <v>0</v>
      </c>
      <c r="M155" s="396"/>
      <c r="N155" s="396"/>
      <c r="O155" s="396"/>
      <c r="P155" s="396"/>
      <c r="Q155" s="396"/>
      <c r="R155" s="396"/>
      <c r="S155" s="396"/>
      <c r="T155" s="396"/>
      <c r="U155" s="396"/>
      <c r="V155" s="396"/>
      <c r="W155" s="396"/>
      <c r="X155" s="396"/>
      <c r="Y155" s="396"/>
      <c r="Z155" s="396"/>
      <c r="AA155" s="396"/>
      <c r="AB155" s="396"/>
      <c r="AC155" s="396"/>
      <c r="AD155" s="396"/>
      <c r="AE155" s="396"/>
      <c r="AF155" s="396"/>
      <c r="AG155" s="396"/>
      <c r="AH155" s="396"/>
      <c r="AI155" s="396"/>
      <c r="AJ155" s="396"/>
      <c r="AK155" s="396"/>
      <c r="AL155" s="396"/>
      <c r="AM155" s="396"/>
      <c r="AN155" s="396"/>
      <c r="AO155" s="396"/>
      <c r="AP155" s="396"/>
      <c r="AQ155" s="396"/>
      <c r="AR155" s="396"/>
      <c r="AS155" s="396"/>
      <c r="AT155" s="396"/>
      <c r="AU155" s="396"/>
      <c r="AV155" s="396"/>
      <c r="AW155" s="396"/>
      <c r="AX155" s="396"/>
      <c r="AY155" s="396"/>
      <c r="AZ155" s="396"/>
      <c r="BA155" s="396"/>
      <c r="BB155" s="396"/>
      <c r="BC155" s="396"/>
      <c r="BD155" s="396"/>
      <c r="BE155" s="396"/>
      <c r="BF155" s="396"/>
      <c r="BG155" s="396"/>
      <c r="BH155" s="396"/>
      <c r="BI155" s="396"/>
      <c r="BJ155" s="396"/>
      <c r="BK155" s="396"/>
      <c r="BL155" s="396"/>
      <c r="BM155" s="396"/>
      <c r="BN155" s="396"/>
      <c r="BO155" s="396"/>
      <c r="BP155" s="396"/>
      <c r="BQ155" s="396"/>
      <c r="BR155" s="396"/>
      <c r="BS155" s="396"/>
      <c r="BT155" s="396"/>
      <c r="BU155" s="396"/>
      <c r="BV155" s="396"/>
      <c r="BW155" s="396"/>
      <c r="BX155" s="396"/>
      <c r="BY155" s="396"/>
      <c r="BZ155" s="396"/>
      <c r="CA155" s="396"/>
      <c r="CB155" s="396"/>
      <c r="CC155" s="396"/>
      <c r="CD155" s="396"/>
      <c r="CE155" s="396"/>
      <c r="CF155" s="396"/>
      <c r="CG155" s="396"/>
      <c r="CH155" s="396"/>
      <c r="CI155" s="396"/>
      <c r="CJ155" s="396"/>
      <c r="CK155" s="396"/>
      <c r="CL155" s="396"/>
      <c r="CM155" s="396"/>
      <c r="CN155" s="396"/>
      <c r="CO155" s="396"/>
      <c r="CP155" s="396"/>
      <c r="CQ155" s="396"/>
      <c r="CR155" s="396"/>
      <c r="CS155" s="396"/>
      <c r="CT155" s="396"/>
      <c r="CU155" s="396"/>
      <c r="CV155" s="396"/>
      <c r="CW155" s="396"/>
      <c r="CX155" s="396"/>
      <c r="CY155" s="396"/>
      <c r="CZ155" s="396"/>
      <c r="DA155" s="396"/>
      <c r="DB155" s="396"/>
      <c r="DC155" s="396"/>
      <c r="DD155" s="396"/>
      <c r="DE155" s="396"/>
      <c r="DF155" s="396"/>
      <c r="DG155" s="396"/>
      <c r="DH155" s="396"/>
      <c r="DI155" s="396"/>
      <c r="DJ155" s="396"/>
      <c r="DK155" s="396"/>
      <c r="DL155" s="396"/>
      <c r="DM155" s="396"/>
      <c r="DN155" s="396"/>
      <c r="DO155" s="396"/>
      <c r="DP155" s="396"/>
      <c r="DQ155" s="396"/>
      <c r="DR155" s="396"/>
      <c r="DS155" s="396"/>
      <c r="DT155" s="396"/>
      <c r="DU155" s="396"/>
      <c r="DV155" s="396"/>
      <c r="DW155" s="396"/>
      <c r="DX155" s="396"/>
      <c r="DY155" s="396"/>
      <c r="DZ155" s="396"/>
      <c r="EA155" s="396"/>
      <c r="EB155" s="396"/>
      <c r="EC155" s="396"/>
      <c r="ED155" s="396"/>
      <c r="EE155" s="396"/>
      <c r="EF155" s="396"/>
      <c r="EG155" s="396"/>
      <c r="EH155" s="396"/>
      <c r="EI155" s="396"/>
      <c r="EJ155" s="396"/>
      <c r="EK155" s="396"/>
      <c r="EL155" s="396"/>
      <c r="EM155" s="396"/>
      <c r="EN155" s="396"/>
      <c r="EO155" s="396"/>
      <c r="EP155" s="396"/>
      <c r="EQ155" s="396"/>
      <c r="ER155" s="396"/>
      <c r="ES155" s="396"/>
      <c r="ET155" s="396"/>
      <c r="EU155" s="396"/>
      <c r="EV155" s="396"/>
      <c r="EW155" s="396"/>
      <c r="EX155" s="396"/>
      <c r="EY155" s="396"/>
      <c r="EZ155" s="396"/>
      <c r="FA155" s="396"/>
      <c r="FB155" s="396"/>
      <c r="FC155" s="396"/>
      <c r="FD155" s="396"/>
      <c r="FE155" s="396"/>
      <c r="FF155" s="396"/>
      <c r="FG155" s="396"/>
      <c r="FH155" s="396"/>
      <c r="FI155" s="396"/>
      <c r="FJ155" s="396"/>
      <c r="FK155" s="396"/>
      <c r="FL155" s="396"/>
      <c r="FM155" s="396"/>
      <c r="FN155" s="396"/>
      <c r="FO155" s="396"/>
      <c r="FP155" s="396"/>
      <c r="FQ155" s="396"/>
      <c r="FR155" s="396"/>
      <c r="FS155" s="396"/>
      <c r="FT155" s="396"/>
      <c r="FU155" s="396"/>
      <c r="FV155" s="396"/>
      <c r="FW155" s="396"/>
      <c r="FX155" s="396"/>
      <c r="FY155" s="396"/>
      <c r="FZ155" s="396"/>
      <c r="GA155" s="396"/>
      <c r="GB155" s="396"/>
      <c r="GC155" s="396"/>
      <c r="GD155" s="396"/>
      <c r="GE155" s="396"/>
      <c r="GF155" s="396"/>
      <c r="GG155" s="396"/>
      <c r="GH155" s="396"/>
      <c r="GI155" s="396"/>
      <c r="GJ155" s="396"/>
      <c r="GK155" s="396"/>
      <c r="GL155" s="396"/>
      <c r="GM155" s="396"/>
      <c r="GN155" s="396"/>
      <c r="GO155" s="396"/>
      <c r="GP155" s="396"/>
      <c r="GQ155" s="396"/>
      <c r="GR155" s="396"/>
      <c r="GS155" s="396"/>
      <c r="GT155" s="396"/>
      <c r="GU155" s="396"/>
      <c r="GV155" s="396"/>
      <c r="GW155" s="396"/>
      <c r="GX155" s="396"/>
      <c r="GY155" s="396"/>
      <c r="GZ155" s="396"/>
      <c r="HA155" s="396"/>
      <c r="HB155" s="396"/>
      <c r="HC155" s="396"/>
      <c r="HD155" s="396"/>
      <c r="HE155" s="396"/>
      <c r="HF155" s="396"/>
      <c r="HG155" s="396"/>
      <c r="HH155" s="396"/>
      <c r="HI155" s="396"/>
      <c r="HJ155" s="396"/>
      <c r="HK155" s="396"/>
      <c r="HL155" s="396"/>
      <c r="HM155" s="396"/>
      <c r="HN155" s="396"/>
      <c r="HO155" s="396"/>
      <c r="HP155" s="396"/>
      <c r="HQ155" s="396"/>
      <c r="HR155" s="396"/>
      <c r="HS155" s="396"/>
      <c r="HT155" s="396"/>
      <c r="HU155" s="396"/>
      <c r="HV155" s="396"/>
      <c r="HW155" s="396"/>
      <c r="HX155" s="396"/>
      <c r="HY155" s="396"/>
      <c r="HZ155" s="396"/>
      <c r="IA155" s="396"/>
      <c r="IB155" s="396"/>
      <c r="IC155" s="396"/>
      <c r="ID155" s="396"/>
      <c r="IE155" s="396"/>
      <c r="IF155" s="396"/>
      <c r="IG155" s="396"/>
      <c r="IH155" s="396"/>
      <c r="II155" s="396"/>
      <c r="IJ155" s="396"/>
      <c r="IK155" s="396"/>
      <c r="IL155" s="396"/>
      <c r="IM155" s="396"/>
      <c r="IN155" s="396"/>
      <c r="IO155" s="396"/>
      <c r="IP155" s="396"/>
      <c r="IQ155" s="396"/>
      <c r="IR155" s="396"/>
      <c r="IS155" s="396"/>
      <c r="IT155" s="396"/>
      <c r="IU155" s="396"/>
      <c r="IV155" s="396"/>
    </row>
    <row r="156" spans="1:256" s="290" customFormat="1" ht="75" x14ac:dyDescent="0.3">
      <c r="A156" s="69"/>
      <c r="B156" s="8"/>
      <c r="C156" s="82" t="s">
        <v>1487</v>
      </c>
      <c r="D156" s="269" t="s">
        <v>113</v>
      </c>
      <c r="E156" s="71" t="s">
        <v>23</v>
      </c>
      <c r="F156" s="74">
        <f>6.8*8.75</f>
        <v>59.5</v>
      </c>
      <c r="G156" s="11">
        <v>3224000</v>
      </c>
      <c r="H156" s="355">
        <v>1</v>
      </c>
      <c r="I156" s="354">
        <v>1.1479999999999999</v>
      </c>
      <c r="J156" s="32">
        <f t="shared" ref="J156:J167" si="16">ROUND(F156*G156*H156*I156,-3)</f>
        <v>220219000</v>
      </c>
      <c r="K156" s="39">
        <f t="shared" si="15"/>
        <v>220219000</v>
      </c>
      <c r="L156" s="261">
        <f t="shared" si="14"/>
        <v>0</v>
      </c>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c r="HM156" s="14"/>
      <c r="HN156" s="14"/>
      <c r="HO156" s="14"/>
      <c r="HP156" s="14"/>
      <c r="HQ156" s="14"/>
      <c r="HR156" s="14"/>
      <c r="HS156" s="14"/>
      <c r="HT156" s="14"/>
      <c r="HU156" s="14"/>
      <c r="HV156" s="14"/>
      <c r="HW156" s="14"/>
      <c r="HX156" s="14"/>
      <c r="HY156" s="14"/>
      <c r="HZ156" s="14"/>
      <c r="IA156" s="14"/>
      <c r="IB156" s="14"/>
      <c r="IC156" s="14"/>
      <c r="ID156" s="14"/>
      <c r="IE156" s="14"/>
      <c r="IF156" s="14"/>
      <c r="IG156" s="14"/>
      <c r="IH156" s="14"/>
      <c r="II156" s="14"/>
      <c r="IJ156" s="14"/>
      <c r="IK156" s="14"/>
      <c r="IL156" s="14"/>
      <c r="IM156" s="14"/>
      <c r="IN156" s="14"/>
      <c r="IO156" s="14"/>
      <c r="IP156" s="14"/>
      <c r="IQ156" s="14"/>
      <c r="IR156" s="14"/>
      <c r="IS156" s="14"/>
      <c r="IT156" s="14"/>
      <c r="IU156" s="14"/>
      <c r="IV156" s="14"/>
    </row>
    <row r="157" spans="1:256" s="290" customFormat="1" ht="25.5" x14ac:dyDescent="0.3">
      <c r="A157" s="69"/>
      <c r="B157" s="8"/>
      <c r="C157" s="82" t="s">
        <v>1488</v>
      </c>
      <c r="D157" s="270" t="s">
        <v>68</v>
      </c>
      <c r="E157" s="96" t="s">
        <v>91</v>
      </c>
      <c r="F157" s="74">
        <f>6.6*8.55</f>
        <v>56.43</v>
      </c>
      <c r="G157" s="46">
        <v>213000</v>
      </c>
      <c r="H157" s="355">
        <v>1</v>
      </c>
      <c r="I157" s="151">
        <v>1.1479999999999999</v>
      </c>
      <c r="J157" s="32">
        <f t="shared" si="16"/>
        <v>13798000</v>
      </c>
      <c r="K157" s="39">
        <f t="shared" si="15"/>
        <v>13798000</v>
      </c>
      <c r="L157" s="261">
        <f t="shared" si="14"/>
        <v>0</v>
      </c>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c r="HM157" s="14"/>
      <c r="HN157" s="14"/>
      <c r="HO157" s="14"/>
      <c r="HP157" s="14"/>
      <c r="HQ157" s="14"/>
      <c r="HR157" s="14"/>
      <c r="HS157" s="14"/>
      <c r="HT157" s="14"/>
      <c r="HU157" s="14"/>
      <c r="HV157" s="14"/>
      <c r="HW157" s="14"/>
      <c r="HX157" s="14"/>
      <c r="HY157" s="14"/>
      <c r="HZ157" s="14"/>
      <c r="IA157" s="14"/>
      <c r="IB157" s="14"/>
      <c r="IC157" s="14"/>
      <c r="ID157" s="14"/>
      <c r="IE157" s="14"/>
      <c r="IF157" s="14"/>
      <c r="IG157" s="14"/>
      <c r="IH157" s="14"/>
      <c r="II157" s="14"/>
      <c r="IJ157" s="14"/>
      <c r="IK157" s="14"/>
      <c r="IL157" s="14"/>
      <c r="IM157" s="14"/>
      <c r="IN157" s="14"/>
      <c r="IO157" s="14"/>
      <c r="IP157" s="14"/>
      <c r="IQ157" s="14"/>
      <c r="IR157" s="14"/>
      <c r="IS157" s="14"/>
      <c r="IT157" s="14"/>
      <c r="IU157" s="14"/>
      <c r="IV157" s="14"/>
    </row>
    <row r="158" spans="1:256" s="290" customFormat="1" ht="38.25" x14ac:dyDescent="0.3">
      <c r="A158" s="69"/>
      <c r="B158" s="8"/>
      <c r="C158" s="82" t="s">
        <v>1489</v>
      </c>
      <c r="D158" s="267" t="s">
        <v>56</v>
      </c>
      <c r="E158" s="71" t="s">
        <v>23</v>
      </c>
      <c r="F158" s="74">
        <f>6.55*3</f>
        <v>19.649999999999999</v>
      </c>
      <c r="G158" s="29">
        <v>735000</v>
      </c>
      <c r="H158" s="355">
        <v>1</v>
      </c>
      <c r="I158" s="408">
        <v>1.1479999999999999</v>
      </c>
      <c r="J158" s="32">
        <f t="shared" si="16"/>
        <v>16580000</v>
      </c>
      <c r="K158" s="39">
        <f t="shared" si="15"/>
        <v>16580000</v>
      </c>
      <c r="L158" s="261">
        <f t="shared" si="14"/>
        <v>0</v>
      </c>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c r="HM158" s="14"/>
      <c r="HN158" s="14"/>
      <c r="HO158" s="14"/>
      <c r="HP158" s="14"/>
      <c r="HQ158" s="14"/>
      <c r="HR158" s="14"/>
      <c r="HS158" s="14"/>
      <c r="HT158" s="14"/>
      <c r="HU158" s="14"/>
      <c r="HV158" s="14"/>
      <c r="HW158" s="14"/>
      <c r="HX158" s="14"/>
      <c r="HY158" s="14"/>
      <c r="HZ158" s="14"/>
      <c r="IA158" s="14"/>
      <c r="IB158" s="14"/>
      <c r="IC158" s="14"/>
      <c r="ID158" s="14"/>
      <c r="IE158" s="14"/>
      <c r="IF158" s="14"/>
      <c r="IG158" s="14"/>
      <c r="IH158" s="14"/>
      <c r="II158" s="14"/>
      <c r="IJ158" s="14"/>
      <c r="IK158" s="14"/>
      <c r="IL158" s="14"/>
      <c r="IM158" s="14"/>
      <c r="IN158" s="14"/>
      <c r="IO158" s="14"/>
      <c r="IP158" s="14"/>
      <c r="IQ158" s="14"/>
      <c r="IR158" s="14"/>
      <c r="IS158" s="14"/>
      <c r="IT158" s="14"/>
      <c r="IU158" s="14"/>
      <c r="IV158" s="14"/>
    </row>
    <row r="159" spans="1:256" s="290" customFormat="1" ht="38.25" x14ac:dyDescent="0.3">
      <c r="A159" s="69"/>
      <c r="B159" s="8"/>
      <c r="C159" s="82" t="s">
        <v>1490</v>
      </c>
      <c r="D159" s="271" t="s">
        <v>32</v>
      </c>
      <c r="E159" s="71" t="s">
        <v>23</v>
      </c>
      <c r="F159" s="74">
        <f>6.8*4.5</f>
        <v>30.599999999999998</v>
      </c>
      <c r="G159" s="29">
        <v>215000</v>
      </c>
      <c r="H159" s="355">
        <v>0.8</v>
      </c>
      <c r="I159" s="151">
        <v>1.1479999999999999</v>
      </c>
      <c r="J159" s="32">
        <f t="shared" si="16"/>
        <v>6042000</v>
      </c>
      <c r="K159" s="39">
        <f t="shared" si="15"/>
        <v>6042000</v>
      </c>
      <c r="L159" s="261">
        <f t="shared" si="14"/>
        <v>0</v>
      </c>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c r="HM159" s="14"/>
      <c r="HN159" s="14"/>
      <c r="HO159" s="14"/>
      <c r="HP159" s="14"/>
      <c r="HQ159" s="14"/>
      <c r="HR159" s="14"/>
      <c r="HS159" s="14"/>
      <c r="HT159" s="14"/>
      <c r="HU159" s="14"/>
      <c r="HV159" s="14"/>
      <c r="HW159" s="14"/>
      <c r="HX159" s="14"/>
      <c r="HY159" s="14"/>
      <c r="HZ159" s="14"/>
      <c r="IA159" s="14"/>
      <c r="IB159" s="14"/>
      <c r="IC159" s="14"/>
      <c r="ID159" s="14"/>
      <c r="IE159" s="14"/>
      <c r="IF159" s="14"/>
      <c r="IG159" s="14"/>
      <c r="IH159" s="14"/>
      <c r="II159" s="14"/>
      <c r="IJ159" s="14"/>
      <c r="IK159" s="14"/>
      <c r="IL159" s="14"/>
      <c r="IM159" s="14"/>
      <c r="IN159" s="14"/>
      <c r="IO159" s="14"/>
      <c r="IP159" s="14"/>
      <c r="IQ159" s="14"/>
      <c r="IR159" s="14"/>
      <c r="IS159" s="14"/>
      <c r="IT159" s="14"/>
      <c r="IU159" s="14"/>
      <c r="IV159" s="14"/>
    </row>
    <row r="160" spans="1:256" s="290" customFormat="1" ht="25.5" x14ac:dyDescent="0.3">
      <c r="A160" s="69"/>
      <c r="B160" s="8"/>
      <c r="C160" s="143" t="s">
        <v>1491</v>
      </c>
      <c r="D160" s="271" t="s">
        <v>94</v>
      </c>
      <c r="E160" s="63" t="s">
        <v>35</v>
      </c>
      <c r="F160" s="98">
        <v>1</v>
      </c>
      <c r="G160" s="112">
        <v>1065100</v>
      </c>
      <c r="H160" s="365">
        <v>1</v>
      </c>
      <c r="I160" s="366">
        <v>1</v>
      </c>
      <c r="J160" s="367">
        <f t="shared" si="16"/>
        <v>1065000</v>
      </c>
      <c r="K160" s="39">
        <f t="shared" si="15"/>
        <v>1065000</v>
      </c>
      <c r="L160" s="261">
        <f t="shared" si="14"/>
        <v>0</v>
      </c>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c r="HM160" s="14"/>
      <c r="HN160" s="14"/>
      <c r="HO160" s="14"/>
      <c r="HP160" s="14"/>
      <c r="HQ160" s="14"/>
      <c r="HR160" s="14"/>
      <c r="HS160" s="14"/>
      <c r="HT160" s="14"/>
      <c r="HU160" s="14"/>
      <c r="HV160" s="14"/>
      <c r="HW160" s="14"/>
      <c r="HX160" s="14"/>
      <c r="HY160" s="14"/>
      <c r="HZ160" s="14"/>
      <c r="IA160" s="14"/>
      <c r="IB160" s="14"/>
      <c r="IC160" s="14"/>
      <c r="ID160" s="14"/>
      <c r="IE160" s="14"/>
      <c r="IF160" s="14"/>
      <c r="IG160" s="14"/>
      <c r="IH160" s="14"/>
      <c r="II160" s="14"/>
      <c r="IJ160" s="14"/>
      <c r="IK160" s="14"/>
      <c r="IL160" s="14"/>
      <c r="IM160" s="14"/>
      <c r="IN160" s="14"/>
      <c r="IO160" s="14"/>
      <c r="IP160" s="14"/>
      <c r="IQ160" s="14"/>
      <c r="IR160" s="14"/>
      <c r="IS160" s="14"/>
      <c r="IT160" s="14"/>
      <c r="IU160" s="14"/>
      <c r="IV160" s="14"/>
    </row>
    <row r="161" spans="1:256" s="290" customFormat="1" ht="40.5" customHeight="1" x14ac:dyDescent="0.3">
      <c r="A161" s="117"/>
      <c r="B161" s="118"/>
      <c r="C161" s="106" t="s">
        <v>1492</v>
      </c>
      <c r="D161" s="416" t="s">
        <v>41</v>
      </c>
      <c r="E161" s="381" t="s">
        <v>42</v>
      </c>
      <c r="F161" s="417">
        <v>11</v>
      </c>
      <c r="G161" s="406">
        <v>5330</v>
      </c>
      <c r="H161" s="383">
        <v>1</v>
      </c>
      <c r="I161" s="384">
        <v>1</v>
      </c>
      <c r="J161" s="367">
        <f t="shared" si="16"/>
        <v>59000</v>
      </c>
      <c r="K161" s="39">
        <f t="shared" si="15"/>
        <v>59000</v>
      </c>
      <c r="L161" s="261">
        <f t="shared" si="14"/>
        <v>0</v>
      </c>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c r="HM161" s="14"/>
      <c r="HN161" s="14"/>
      <c r="HO161" s="14"/>
      <c r="HP161" s="14"/>
      <c r="HQ161" s="14"/>
      <c r="HR161" s="14"/>
      <c r="HS161" s="14"/>
      <c r="HT161" s="14"/>
      <c r="HU161" s="14"/>
      <c r="HV161" s="14"/>
      <c r="HW161" s="14"/>
      <c r="HX161" s="14"/>
      <c r="HY161" s="14"/>
      <c r="HZ161" s="14"/>
      <c r="IA161" s="14"/>
      <c r="IB161" s="14"/>
      <c r="IC161" s="14"/>
      <c r="ID161" s="14"/>
      <c r="IE161" s="14"/>
      <c r="IF161" s="14"/>
      <c r="IG161" s="14"/>
      <c r="IH161" s="14"/>
      <c r="II161" s="14"/>
      <c r="IJ161" s="14"/>
      <c r="IK161" s="14"/>
      <c r="IL161" s="14"/>
      <c r="IM161" s="14"/>
      <c r="IN161" s="14"/>
      <c r="IO161" s="14"/>
      <c r="IP161" s="14"/>
      <c r="IQ161" s="14"/>
      <c r="IR161" s="14"/>
      <c r="IS161" s="14"/>
      <c r="IT161" s="14"/>
      <c r="IU161" s="14"/>
      <c r="IV161" s="14"/>
    </row>
    <row r="162" spans="1:256" s="290" customFormat="1" ht="40.5" customHeight="1" x14ac:dyDescent="0.3">
      <c r="A162" s="69"/>
      <c r="B162" s="8"/>
      <c r="C162" s="82" t="s">
        <v>1493</v>
      </c>
      <c r="D162" s="267" t="s">
        <v>24</v>
      </c>
      <c r="E162" s="8" t="s">
        <v>25</v>
      </c>
      <c r="F162" s="74">
        <f>1*6.8*0.2</f>
        <v>1.36</v>
      </c>
      <c r="G162" s="29">
        <v>2828000</v>
      </c>
      <c r="H162" s="355">
        <v>1</v>
      </c>
      <c r="I162" s="151">
        <v>1.1479999999999999</v>
      </c>
      <c r="J162" s="32">
        <f t="shared" si="16"/>
        <v>4415000</v>
      </c>
      <c r="K162" s="39">
        <f t="shared" si="15"/>
        <v>4415000</v>
      </c>
      <c r="L162" s="261">
        <f t="shared" si="14"/>
        <v>0</v>
      </c>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c r="HM162" s="14"/>
      <c r="HN162" s="14"/>
      <c r="HO162" s="14"/>
      <c r="HP162" s="14"/>
      <c r="HQ162" s="14"/>
      <c r="HR162" s="14"/>
      <c r="HS162" s="14"/>
      <c r="HT162" s="14"/>
      <c r="HU162" s="14"/>
      <c r="HV162" s="14"/>
      <c r="HW162" s="14"/>
      <c r="HX162" s="14"/>
      <c r="HY162" s="14"/>
      <c r="HZ162" s="14"/>
      <c r="IA162" s="14"/>
      <c r="IB162" s="14"/>
      <c r="IC162" s="14"/>
      <c r="ID162" s="14"/>
      <c r="IE162" s="14"/>
      <c r="IF162" s="14"/>
      <c r="IG162" s="14"/>
      <c r="IH162" s="14"/>
      <c r="II162" s="14"/>
      <c r="IJ162" s="14"/>
      <c r="IK162" s="14"/>
      <c r="IL162" s="14"/>
      <c r="IM162" s="14"/>
      <c r="IN162" s="14"/>
      <c r="IO162" s="14"/>
      <c r="IP162" s="14"/>
      <c r="IQ162" s="14"/>
      <c r="IR162" s="14"/>
      <c r="IS162" s="14"/>
      <c r="IT162" s="14"/>
      <c r="IU162" s="14"/>
      <c r="IV162" s="14"/>
    </row>
    <row r="163" spans="1:256" s="290" customFormat="1" ht="40.5" customHeight="1" x14ac:dyDescent="0.3">
      <c r="A163" s="69"/>
      <c r="B163" s="8"/>
      <c r="C163" s="82" t="s">
        <v>1494</v>
      </c>
      <c r="D163" s="270" t="s">
        <v>51</v>
      </c>
      <c r="E163" s="71" t="s">
        <v>23</v>
      </c>
      <c r="F163" s="74">
        <f>1.3*6.8</f>
        <v>8.84</v>
      </c>
      <c r="G163" s="29">
        <v>453000</v>
      </c>
      <c r="H163" s="355">
        <v>1</v>
      </c>
      <c r="I163" s="354">
        <v>1.1479999999999999</v>
      </c>
      <c r="J163" s="32">
        <f t="shared" si="16"/>
        <v>4597000</v>
      </c>
      <c r="K163" s="39">
        <f t="shared" si="15"/>
        <v>4597000</v>
      </c>
      <c r="L163" s="261">
        <f t="shared" si="14"/>
        <v>0</v>
      </c>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c r="HM163" s="14"/>
      <c r="HN163" s="14"/>
      <c r="HO163" s="14"/>
      <c r="HP163" s="14"/>
      <c r="HQ163" s="14"/>
      <c r="HR163" s="14"/>
      <c r="HS163" s="14"/>
      <c r="HT163" s="14"/>
      <c r="HU163" s="14"/>
      <c r="HV163" s="14"/>
      <c r="HW163" s="14"/>
      <c r="HX163" s="14"/>
      <c r="HY163" s="14"/>
      <c r="HZ163" s="14"/>
      <c r="IA163" s="14"/>
      <c r="IB163" s="14"/>
      <c r="IC163" s="14"/>
      <c r="ID163" s="14"/>
      <c r="IE163" s="14"/>
      <c r="IF163" s="14"/>
      <c r="IG163" s="14"/>
      <c r="IH163" s="14"/>
      <c r="II163" s="14"/>
      <c r="IJ163" s="14"/>
      <c r="IK163" s="14"/>
      <c r="IL163" s="14"/>
      <c r="IM163" s="14"/>
      <c r="IN163" s="14"/>
      <c r="IO163" s="14"/>
      <c r="IP163" s="14"/>
      <c r="IQ163" s="14"/>
      <c r="IR163" s="14"/>
      <c r="IS163" s="14"/>
      <c r="IT163" s="14"/>
      <c r="IU163" s="14"/>
      <c r="IV163" s="14"/>
    </row>
    <row r="164" spans="1:256" s="290" customFormat="1" ht="40.5" customHeight="1" x14ac:dyDescent="0.3">
      <c r="A164" s="69"/>
      <c r="B164" s="8"/>
      <c r="C164" s="82" t="s">
        <v>1495</v>
      </c>
      <c r="D164" s="270" t="s">
        <v>28</v>
      </c>
      <c r="E164" s="71" t="s">
        <v>23</v>
      </c>
      <c r="F164" s="74">
        <f>6.8*0.2+(0.85*3)*2</f>
        <v>6.46</v>
      </c>
      <c r="G164" s="11">
        <v>396000</v>
      </c>
      <c r="H164" s="355">
        <v>1</v>
      </c>
      <c r="I164" s="151">
        <v>1.1479999999999999</v>
      </c>
      <c r="J164" s="32">
        <f t="shared" si="16"/>
        <v>2937000</v>
      </c>
      <c r="K164" s="39">
        <f t="shared" si="15"/>
        <v>2937000</v>
      </c>
      <c r="L164" s="261">
        <f t="shared" si="14"/>
        <v>0</v>
      </c>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c r="HM164" s="14"/>
      <c r="HN164" s="14"/>
      <c r="HO164" s="14"/>
      <c r="HP164" s="14"/>
      <c r="HQ164" s="14"/>
      <c r="HR164" s="14"/>
      <c r="HS164" s="14"/>
      <c r="HT164" s="14"/>
      <c r="HU164" s="14"/>
      <c r="HV164" s="14"/>
      <c r="HW164" s="14"/>
      <c r="HX164" s="14"/>
      <c r="HY164" s="14"/>
      <c r="HZ164" s="14"/>
      <c r="IA164" s="14"/>
      <c r="IB164" s="14"/>
      <c r="IC164" s="14"/>
      <c r="ID164" s="14"/>
      <c r="IE164" s="14"/>
      <c r="IF164" s="14"/>
      <c r="IG164" s="14"/>
      <c r="IH164" s="14"/>
      <c r="II164" s="14"/>
      <c r="IJ164" s="14"/>
      <c r="IK164" s="14"/>
      <c r="IL164" s="14"/>
      <c r="IM164" s="14"/>
      <c r="IN164" s="14"/>
      <c r="IO164" s="14"/>
      <c r="IP164" s="14"/>
      <c r="IQ164" s="14"/>
      <c r="IR164" s="14"/>
      <c r="IS164" s="14"/>
      <c r="IT164" s="14"/>
      <c r="IU164" s="14"/>
      <c r="IV164" s="14"/>
    </row>
    <row r="165" spans="1:256" s="290" customFormat="1" ht="40.5" customHeight="1" x14ac:dyDescent="0.3">
      <c r="A165" s="69"/>
      <c r="B165" s="8"/>
      <c r="C165" s="82" t="s">
        <v>1496</v>
      </c>
      <c r="D165" s="270" t="s">
        <v>55</v>
      </c>
      <c r="E165" s="96" t="s">
        <v>91</v>
      </c>
      <c r="F165" s="74">
        <f>6*1.8</f>
        <v>10.8</v>
      </c>
      <c r="G165" s="29">
        <v>905000</v>
      </c>
      <c r="H165" s="355">
        <v>1</v>
      </c>
      <c r="I165" s="151">
        <v>1.1479999999999999</v>
      </c>
      <c r="J165" s="32">
        <f t="shared" si="16"/>
        <v>11221000</v>
      </c>
      <c r="K165" s="39">
        <f t="shared" si="15"/>
        <v>11221000</v>
      </c>
      <c r="L165" s="261">
        <f t="shared" si="14"/>
        <v>0</v>
      </c>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c r="HM165" s="14"/>
      <c r="HN165" s="14"/>
      <c r="HO165" s="14"/>
      <c r="HP165" s="14"/>
      <c r="HQ165" s="14"/>
      <c r="HR165" s="14"/>
      <c r="HS165" s="14"/>
      <c r="HT165" s="14"/>
      <c r="HU165" s="14"/>
      <c r="HV165" s="14"/>
      <c r="HW165" s="14"/>
      <c r="HX165" s="14"/>
      <c r="HY165" s="14"/>
      <c r="HZ165" s="14"/>
      <c r="IA165" s="14"/>
      <c r="IB165" s="14"/>
      <c r="IC165" s="14"/>
      <c r="ID165" s="14"/>
      <c r="IE165" s="14"/>
      <c r="IF165" s="14"/>
      <c r="IG165" s="14"/>
      <c r="IH165" s="14"/>
      <c r="II165" s="14"/>
      <c r="IJ165" s="14"/>
      <c r="IK165" s="14"/>
      <c r="IL165" s="14"/>
      <c r="IM165" s="14"/>
      <c r="IN165" s="14"/>
      <c r="IO165" s="14"/>
      <c r="IP165" s="14"/>
      <c r="IQ165" s="14"/>
      <c r="IR165" s="14"/>
      <c r="IS165" s="14"/>
      <c r="IT165" s="14"/>
      <c r="IU165" s="14"/>
      <c r="IV165" s="14"/>
    </row>
    <row r="166" spans="1:256" s="290" customFormat="1" ht="38.25" x14ac:dyDescent="0.3">
      <c r="A166" s="104"/>
      <c r="B166" s="105"/>
      <c r="C166" s="113" t="s">
        <v>1497</v>
      </c>
      <c r="D166" s="399" t="s">
        <v>44</v>
      </c>
      <c r="E166" s="126" t="s">
        <v>45</v>
      </c>
      <c r="F166" s="123">
        <v>7</v>
      </c>
      <c r="G166" s="177">
        <v>28000</v>
      </c>
      <c r="H166" s="355">
        <v>1</v>
      </c>
      <c r="I166" s="400">
        <v>1.1479999999999999</v>
      </c>
      <c r="J166" s="378">
        <f t="shared" si="16"/>
        <v>225000</v>
      </c>
      <c r="K166" s="39">
        <f t="shared" si="15"/>
        <v>225000</v>
      </c>
      <c r="L166" s="261">
        <f t="shared" si="14"/>
        <v>0</v>
      </c>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c r="HM166" s="14"/>
      <c r="HN166" s="14"/>
      <c r="HO166" s="14"/>
      <c r="HP166" s="14"/>
      <c r="HQ166" s="14"/>
      <c r="HR166" s="14"/>
      <c r="HS166" s="14"/>
      <c r="HT166" s="14"/>
      <c r="HU166" s="14"/>
      <c r="HV166" s="14"/>
      <c r="HW166" s="14"/>
      <c r="HX166" s="14"/>
      <c r="HY166" s="14"/>
      <c r="HZ166" s="14"/>
      <c r="IA166" s="14"/>
      <c r="IB166" s="14"/>
      <c r="IC166" s="14"/>
      <c r="ID166" s="14"/>
      <c r="IE166" s="14"/>
      <c r="IF166" s="14"/>
      <c r="IG166" s="14"/>
      <c r="IH166" s="14"/>
      <c r="II166" s="14"/>
      <c r="IJ166" s="14"/>
      <c r="IK166" s="14"/>
      <c r="IL166" s="14"/>
      <c r="IM166" s="14"/>
      <c r="IN166" s="14"/>
      <c r="IO166" s="14"/>
      <c r="IP166" s="14"/>
      <c r="IQ166" s="14"/>
      <c r="IR166" s="14"/>
      <c r="IS166" s="14"/>
      <c r="IT166" s="14"/>
      <c r="IU166" s="14"/>
      <c r="IV166" s="14"/>
    </row>
    <row r="167" spans="1:256" s="290" customFormat="1" ht="38.25" x14ac:dyDescent="0.3">
      <c r="A167" s="69"/>
      <c r="B167" s="8"/>
      <c r="C167" s="113" t="s">
        <v>1458</v>
      </c>
      <c r="D167" s="271" t="s">
        <v>47</v>
      </c>
      <c r="E167" s="63" t="s">
        <v>45</v>
      </c>
      <c r="F167" s="157">
        <v>7</v>
      </c>
      <c r="G167" s="46">
        <v>28000</v>
      </c>
      <c r="H167" s="355">
        <v>1</v>
      </c>
      <c r="I167" s="354">
        <v>1.1479999999999999</v>
      </c>
      <c r="J167" s="378">
        <f t="shared" si="16"/>
        <v>225000</v>
      </c>
      <c r="K167" s="39">
        <f t="shared" si="15"/>
        <v>225000</v>
      </c>
      <c r="L167" s="261">
        <f t="shared" si="14"/>
        <v>0</v>
      </c>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c r="HM167" s="14"/>
      <c r="HN167" s="14"/>
      <c r="HO167" s="14"/>
      <c r="HP167" s="14"/>
      <c r="HQ167" s="14"/>
      <c r="HR167" s="14"/>
      <c r="HS167" s="14"/>
      <c r="HT167" s="14"/>
      <c r="HU167" s="14"/>
      <c r="HV167" s="14"/>
      <c r="HW167" s="14"/>
      <c r="HX167" s="14"/>
      <c r="HY167" s="14"/>
      <c r="HZ167" s="14"/>
      <c r="IA167" s="14"/>
      <c r="IB167" s="14"/>
      <c r="IC167" s="14"/>
      <c r="ID167" s="14"/>
      <c r="IE167" s="14"/>
      <c r="IF167" s="14"/>
      <c r="IG167" s="14"/>
      <c r="IH167" s="14"/>
      <c r="II167" s="14"/>
      <c r="IJ167" s="14"/>
      <c r="IK167" s="14"/>
      <c r="IL167" s="14"/>
      <c r="IM167" s="14"/>
      <c r="IN167" s="14"/>
      <c r="IO167" s="14"/>
      <c r="IP167" s="14"/>
      <c r="IQ167" s="14"/>
      <c r="IR167" s="14"/>
      <c r="IS167" s="14"/>
      <c r="IT167" s="14"/>
      <c r="IU167" s="14"/>
      <c r="IV167" s="14"/>
    </row>
    <row r="168" spans="1:256" s="289" customFormat="1" ht="61.5" customHeight="1" x14ac:dyDescent="0.3">
      <c r="A168" s="108">
        <v>1</v>
      </c>
      <c r="B168" s="109" t="s">
        <v>277</v>
      </c>
      <c r="C168" s="455" t="s">
        <v>1070</v>
      </c>
      <c r="D168" s="456"/>
      <c r="E168" s="456"/>
      <c r="F168" s="456"/>
      <c r="G168" s="456"/>
      <c r="H168" s="456"/>
      <c r="I168" s="457"/>
      <c r="J168" s="221">
        <f>SUM(J169:J187)</f>
        <v>142851000</v>
      </c>
      <c r="K168" s="32">
        <f>ROUND(G168*H168*I168*F168,-3)</f>
        <v>0</v>
      </c>
      <c r="L168" s="261">
        <f t="shared" ref="L168:L200" si="17">J168-K168</f>
        <v>142851000</v>
      </c>
      <c r="M168" s="24"/>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row>
    <row r="169" spans="1:256" s="289" customFormat="1" ht="77.25" customHeight="1" x14ac:dyDescent="0.3">
      <c r="A169" s="108"/>
      <c r="B169" s="109"/>
      <c r="C169" s="25" t="s">
        <v>1062</v>
      </c>
      <c r="D169" s="267" t="s">
        <v>112</v>
      </c>
      <c r="E169" s="27" t="s">
        <v>23</v>
      </c>
      <c r="F169" s="35">
        <v>31.1</v>
      </c>
      <c r="G169" s="458" t="s">
        <v>1064</v>
      </c>
      <c r="H169" s="459"/>
      <c r="I169" s="460"/>
      <c r="J169" s="221"/>
      <c r="K169" s="32"/>
      <c r="L169" s="261">
        <f t="shared" si="17"/>
        <v>0</v>
      </c>
      <c r="M169" s="24"/>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row>
    <row r="170" spans="1:256" s="289" customFormat="1" ht="77.25" customHeight="1" x14ac:dyDescent="0.3">
      <c r="A170" s="67"/>
      <c r="B170" s="68"/>
      <c r="C170" s="20" t="s">
        <v>1065</v>
      </c>
      <c r="D170" s="274" t="s">
        <v>113</v>
      </c>
      <c r="E170" s="27" t="s">
        <v>23</v>
      </c>
      <c r="F170" s="41">
        <f>6.3*5.2</f>
        <v>32.76</v>
      </c>
      <c r="G170" s="29">
        <v>3224000</v>
      </c>
      <c r="H170" s="45">
        <v>0.8</v>
      </c>
      <c r="I170" s="102">
        <v>1.1479999999999999</v>
      </c>
      <c r="J170" s="223">
        <f t="shared" ref="J170:J187" si="18">ROUND(F170*G170*H170*I170,-3)</f>
        <v>97000000</v>
      </c>
      <c r="K170" s="32">
        <f t="shared" ref="K170:K188" si="19">ROUND(G170*H170*I170*F170,-3)</f>
        <v>97000000</v>
      </c>
      <c r="L170" s="261">
        <f t="shared" si="17"/>
        <v>0</v>
      </c>
      <c r="M170" s="14"/>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row>
    <row r="171" spans="1:256" s="289" customFormat="1" ht="25.5" x14ac:dyDescent="0.3">
      <c r="A171" s="69"/>
      <c r="B171" s="8"/>
      <c r="C171" s="82" t="s">
        <v>278</v>
      </c>
      <c r="D171" s="271" t="s">
        <v>54</v>
      </c>
      <c r="E171" s="27" t="s">
        <v>23</v>
      </c>
      <c r="F171" s="72">
        <f>6.1*4.9</f>
        <v>29.89</v>
      </c>
      <c r="G171" s="46">
        <v>213000</v>
      </c>
      <c r="H171" s="45">
        <v>0.8</v>
      </c>
      <c r="I171" s="79">
        <v>1.1479999999999999</v>
      </c>
      <c r="J171" s="223">
        <f t="shared" si="18"/>
        <v>5847000</v>
      </c>
      <c r="K171" s="32">
        <f t="shared" si="19"/>
        <v>5847000</v>
      </c>
      <c r="L171" s="261">
        <f t="shared" si="17"/>
        <v>0</v>
      </c>
      <c r="M171" s="14"/>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row>
    <row r="172" spans="1:256" s="289" customFormat="1" ht="25.5" x14ac:dyDescent="0.3">
      <c r="A172" s="69"/>
      <c r="B172" s="8"/>
      <c r="C172" s="82" t="s">
        <v>279</v>
      </c>
      <c r="D172" s="275" t="s">
        <v>54</v>
      </c>
      <c r="E172" s="22" t="s">
        <v>23</v>
      </c>
      <c r="F172" s="89">
        <f>(6.5*0.9)*2</f>
        <v>11.700000000000001</v>
      </c>
      <c r="G172" s="100">
        <v>213000</v>
      </c>
      <c r="H172" s="45">
        <v>0.8</v>
      </c>
      <c r="I172" s="102">
        <v>1.1479999999999999</v>
      </c>
      <c r="J172" s="222">
        <f t="shared" si="18"/>
        <v>2289000</v>
      </c>
      <c r="K172" s="32">
        <f t="shared" si="19"/>
        <v>2289000</v>
      </c>
      <c r="L172" s="261">
        <f t="shared" si="17"/>
        <v>0</v>
      </c>
      <c r="M172" s="158" t="s">
        <v>1066</v>
      </c>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row>
    <row r="173" spans="1:256" s="289" customFormat="1" ht="38.25" x14ac:dyDescent="0.3">
      <c r="A173" s="69"/>
      <c r="B173" s="8"/>
      <c r="C173" s="82" t="s">
        <v>1067</v>
      </c>
      <c r="D173" s="269" t="s">
        <v>88</v>
      </c>
      <c r="E173" s="8" t="s">
        <v>25</v>
      </c>
      <c r="F173" s="72">
        <f>(0.56*0.56*2.6)*2</f>
        <v>1.6307200000000004</v>
      </c>
      <c r="G173" s="11">
        <v>2828000</v>
      </c>
      <c r="H173" s="45">
        <v>0.8</v>
      </c>
      <c r="I173" s="31">
        <v>1.1479999999999999</v>
      </c>
      <c r="J173" s="223">
        <f t="shared" si="18"/>
        <v>4235000</v>
      </c>
      <c r="K173" s="32">
        <f t="shared" si="19"/>
        <v>4235000</v>
      </c>
      <c r="L173" s="261">
        <f t="shared" si="17"/>
        <v>0</v>
      </c>
      <c r="M173" s="158"/>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row>
    <row r="174" spans="1:256" s="289" customFormat="1" ht="37.5" x14ac:dyDescent="0.3">
      <c r="A174" s="69"/>
      <c r="B174" s="8"/>
      <c r="C174" s="82" t="s">
        <v>280</v>
      </c>
      <c r="D174" s="270" t="s">
        <v>27</v>
      </c>
      <c r="E174" s="27" t="s">
        <v>23</v>
      </c>
      <c r="F174" s="72">
        <f>3.9*0.7</f>
        <v>2.73</v>
      </c>
      <c r="G174" s="36">
        <v>1566000</v>
      </c>
      <c r="H174" s="45">
        <v>0.8</v>
      </c>
      <c r="I174" s="102">
        <v>1.1479999999999999</v>
      </c>
      <c r="J174" s="223">
        <f t="shared" si="18"/>
        <v>3926000</v>
      </c>
      <c r="K174" s="32">
        <f t="shared" si="19"/>
        <v>3926000</v>
      </c>
      <c r="L174" s="261">
        <f t="shared" si="17"/>
        <v>0</v>
      </c>
      <c r="M174" s="158" t="s">
        <v>1068</v>
      </c>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row>
    <row r="175" spans="1:256" s="289" customFormat="1" ht="38.25" x14ac:dyDescent="0.3">
      <c r="A175" s="69"/>
      <c r="B175" s="8"/>
      <c r="C175" s="82" t="s">
        <v>281</v>
      </c>
      <c r="D175" s="267" t="s">
        <v>26</v>
      </c>
      <c r="E175" s="27" t="s">
        <v>23</v>
      </c>
      <c r="F175" s="89">
        <f>2.4*2.6</f>
        <v>6.24</v>
      </c>
      <c r="G175" s="29">
        <v>679000</v>
      </c>
      <c r="H175" s="45">
        <v>0.8</v>
      </c>
      <c r="I175" s="31">
        <v>1.1479999999999999</v>
      </c>
      <c r="J175" s="223">
        <f t="shared" si="18"/>
        <v>3891000</v>
      </c>
      <c r="K175" s="32">
        <f t="shared" si="19"/>
        <v>3891000</v>
      </c>
      <c r="L175" s="261">
        <f t="shared" si="17"/>
        <v>0</v>
      </c>
      <c r="M175" s="14"/>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row>
    <row r="176" spans="1:256" s="289" customFormat="1" ht="40.5" customHeight="1" x14ac:dyDescent="0.3">
      <c r="A176" s="69"/>
      <c r="B176" s="8"/>
      <c r="C176" s="82" t="s">
        <v>282</v>
      </c>
      <c r="D176" s="270" t="s">
        <v>28</v>
      </c>
      <c r="E176" s="27" t="s">
        <v>23</v>
      </c>
      <c r="F176" s="72">
        <f>(0.4*2.2)*6</f>
        <v>5.2800000000000011</v>
      </c>
      <c r="G176" s="11">
        <v>396000</v>
      </c>
      <c r="H176" s="45">
        <v>0.8</v>
      </c>
      <c r="I176" s="31">
        <v>1.1479999999999999</v>
      </c>
      <c r="J176" s="223">
        <f t="shared" si="18"/>
        <v>1920000</v>
      </c>
      <c r="K176" s="32">
        <f t="shared" si="19"/>
        <v>1920000</v>
      </c>
      <c r="L176" s="261">
        <f t="shared" si="17"/>
        <v>0</v>
      </c>
      <c r="M176" s="14"/>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row>
    <row r="177" spans="1:256" s="289" customFormat="1" ht="36.75" customHeight="1" x14ac:dyDescent="0.3">
      <c r="A177" s="69"/>
      <c r="B177" s="8"/>
      <c r="C177" s="82" t="s">
        <v>283</v>
      </c>
      <c r="D177" s="270" t="s">
        <v>29</v>
      </c>
      <c r="E177" s="27" t="s">
        <v>23</v>
      </c>
      <c r="F177" s="72">
        <f>1.4*2.6+(1.1*3.4)*2</f>
        <v>11.120000000000001</v>
      </c>
      <c r="G177" s="29">
        <v>792000</v>
      </c>
      <c r="H177" s="45">
        <v>0.8</v>
      </c>
      <c r="I177" s="31">
        <v>1.1479999999999999</v>
      </c>
      <c r="J177" s="223">
        <f t="shared" si="18"/>
        <v>8088000</v>
      </c>
      <c r="K177" s="32">
        <f t="shared" si="19"/>
        <v>8088000</v>
      </c>
      <c r="L177" s="261">
        <f t="shared" si="17"/>
        <v>0</v>
      </c>
      <c r="M177" s="14"/>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row>
    <row r="178" spans="1:256" s="289" customFormat="1" ht="25.5" x14ac:dyDescent="0.3">
      <c r="A178" s="69"/>
      <c r="B178" s="8"/>
      <c r="C178" s="82" t="s">
        <v>284</v>
      </c>
      <c r="D178" s="272" t="s">
        <v>33</v>
      </c>
      <c r="E178" s="27" t="s">
        <v>23</v>
      </c>
      <c r="F178" s="89">
        <f>1.2*0.6+3.9*0.5</f>
        <v>2.67</v>
      </c>
      <c r="G178" s="29">
        <v>453000</v>
      </c>
      <c r="H178" s="45">
        <v>0.8</v>
      </c>
      <c r="I178" s="31">
        <v>1.1479999999999999</v>
      </c>
      <c r="J178" s="223">
        <f t="shared" si="18"/>
        <v>1111000</v>
      </c>
      <c r="K178" s="32">
        <f t="shared" si="19"/>
        <v>1111000</v>
      </c>
      <c r="L178" s="261">
        <f t="shared" si="17"/>
        <v>0</v>
      </c>
      <c r="M178" s="14"/>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row>
    <row r="179" spans="1:256" s="289" customFormat="1" ht="37.5" x14ac:dyDescent="0.3">
      <c r="A179" s="69"/>
      <c r="B179" s="8"/>
      <c r="C179" s="82" t="s">
        <v>857</v>
      </c>
      <c r="D179" s="270" t="s">
        <v>51</v>
      </c>
      <c r="E179" s="27" t="s">
        <v>23</v>
      </c>
      <c r="F179" s="72">
        <f>1.8*5.2</f>
        <v>9.3600000000000012</v>
      </c>
      <c r="G179" s="29">
        <v>453000</v>
      </c>
      <c r="H179" s="45">
        <v>0.8</v>
      </c>
      <c r="I179" s="31">
        <v>1.1479999999999999</v>
      </c>
      <c r="J179" s="223">
        <f t="shared" si="18"/>
        <v>3894000</v>
      </c>
      <c r="K179" s="32">
        <f t="shared" si="19"/>
        <v>3894000</v>
      </c>
      <c r="L179" s="261">
        <f t="shared" si="17"/>
        <v>0</v>
      </c>
      <c r="M179" s="14"/>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row>
    <row r="180" spans="1:256" s="289" customFormat="1" ht="25.5" x14ac:dyDescent="0.3">
      <c r="A180" s="69"/>
      <c r="B180" s="8"/>
      <c r="C180" s="82" t="s">
        <v>285</v>
      </c>
      <c r="D180" s="270" t="s">
        <v>90</v>
      </c>
      <c r="E180" s="27" t="s">
        <v>23</v>
      </c>
      <c r="F180" s="75">
        <f>1.3*4.9</f>
        <v>6.370000000000001</v>
      </c>
      <c r="G180" s="29">
        <v>181000</v>
      </c>
      <c r="H180" s="45">
        <v>0.8</v>
      </c>
      <c r="I180" s="102">
        <v>1.1479999999999999</v>
      </c>
      <c r="J180" s="223">
        <f t="shared" si="18"/>
        <v>1059000</v>
      </c>
      <c r="K180" s="32">
        <f t="shared" si="19"/>
        <v>1059000</v>
      </c>
      <c r="L180" s="261">
        <f t="shared" si="17"/>
        <v>0</v>
      </c>
      <c r="M180" s="14"/>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row>
    <row r="181" spans="1:256" s="289" customFormat="1" ht="38.25" x14ac:dyDescent="0.3">
      <c r="A181" s="69"/>
      <c r="B181" s="8"/>
      <c r="C181" s="82" t="s">
        <v>286</v>
      </c>
      <c r="D181" s="271" t="s">
        <v>32</v>
      </c>
      <c r="E181" s="27" t="s">
        <v>23</v>
      </c>
      <c r="F181" s="72">
        <f>3.7*5.2</f>
        <v>19.240000000000002</v>
      </c>
      <c r="G181" s="29">
        <v>215000</v>
      </c>
      <c r="H181" s="45">
        <v>0.8</v>
      </c>
      <c r="I181" s="31">
        <v>1.1479999999999999</v>
      </c>
      <c r="J181" s="223">
        <f t="shared" si="18"/>
        <v>3799000</v>
      </c>
      <c r="K181" s="32">
        <f t="shared" si="19"/>
        <v>3799000</v>
      </c>
      <c r="L181" s="261">
        <f t="shared" si="17"/>
        <v>0</v>
      </c>
      <c r="M181" s="14"/>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row>
    <row r="182" spans="1:256" s="289" customFormat="1" ht="35.25" customHeight="1" x14ac:dyDescent="0.3">
      <c r="A182" s="69"/>
      <c r="B182" s="8"/>
      <c r="C182" s="82" t="s">
        <v>287</v>
      </c>
      <c r="D182" s="270" t="s">
        <v>31</v>
      </c>
      <c r="E182" s="27" t="s">
        <v>23</v>
      </c>
      <c r="F182" s="75">
        <f>3*5.2</f>
        <v>15.600000000000001</v>
      </c>
      <c r="G182" s="29">
        <v>339000</v>
      </c>
      <c r="H182" s="45">
        <v>0.8</v>
      </c>
      <c r="I182" s="31">
        <v>1.1479999999999999</v>
      </c>
      <c r="J182" s="223">
        <f t="shared" si="18"/>
        <v>4857000</v>
      </c>
      <c r="K182" s="32">
        <f t="shared" si="19"/>
        <v>4857000</v>
      </c>
      <c r="L182" s="261">
        <f t="shared" si="17"/>
        <v>0</v>
      </c>
      <c r="M182" s="14"/>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row>
    <row r="183" spans="1:256" s="289" customFormat="1" ht="25.5" x14ac:dyDescent="0.3">
      <c r="A183" s="69"/>
      <c r="B183" s="8"/>
      <c r="C183" s="82" t="s">
        <v>288</v>
      </c>
      <c r="D183" s="271" t="s">
        <v>864</v>
      </c>
      <c r="E183" s="27" t="s">
        <v>35</v>
      </c>
      <c r="F183" s="98">
        <v>1</v>
      </c>
      <c r="G183" s="29">
        <v>40910</v>
      </c>
      <c r="H183" s="50">
        <v>1</v>
      </c>
      <c r="I183" s="51">
        <v>1</v>
      </c>
      <c r="J183" s="223">
        <f t="shared" si="18"/>
        <v>41000</v>
      </c>
      <c r="K183" s="32">
        <f t="shared" si="19"/>
        <v>41000</v>
      </c>
      <c r="L183" s="261">
        <f t="shared" si="17"/>
        <v>0</v>
      </c>
      <c r="M183" s="14"/>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row>
    <row r="184" spans="1:256" s="289" customFormat="1" ht="39" customHeight="1" x14ac:dyDescent="0.3">
      <c r="A184" s="69"/>
      <c r="B184" s="8"/>
      <c r="C184" s="82" t="s">
        <v>57</v>
      </c>
      <c r="D184" s="192" t="s">
        <v>58</v>
      </c>
      <c r="E184" s="27" t="s">
        <v>35</v>
      </c>
      <c r="F184" s="98">
        <v>1</v>
      </c>
      <c r="G184" s="49">
        <v>532550</v>
      </c>
      <c r="H184" s="50">
        <v>1</v>
      </c>
      <c r="I184" s="51">
        <v>1</v>
      </c>
      <c r="J184" s="223">
        <f t="shared" si="18"/>
        <v>533000</v>
      </c>
      <c r="K184" s="32">
        <f t="shared" si="19"/>
        <v>533000</v>
      </c>
      <c r="L184" s="261">
        <f t="shared" si="17"/>
        <v>0</v>
      </c>
      <c r="M184" s="1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row>
    <row r="185" spans="1:256" s="289" customFormat="1" ht="25.5" x14ac:dyDescent="0.3">
      <c r="A185" s="69"/>
      <c r="B185" s="8"/>
      <c r="C185" s="82" t="s">
        <v>208</v>
      </c>
      <c r="D185" s="276" t="s">
        <v>41</v>
      </c>
      <c r="E185" s="59" t="s">
        <v>42</v>
      </c>
      <c r="F185" s="98">
        <v>5</v>
      </c>
      <c r="G185" s="11">
        <v>10650</v>
      </c>
      <c r="H185" s="60">
        <v>1</v>
      </c>
      <c r="I185" s="61">
        <v>1</v>
      </c>
      <c r="J185" s="223">
        <f t="shared" si="18"/>
        <v>53000</v>
      </c>
      <c r="K185" s="32">
        <f t="shared" si="19"/>
        <v>53000</v>
      </c>
      <c r="L185" s="261">
        <f t="shared" si="17"/>
        <v>0</v>
      </c>
      <c r="M185" s="14"/>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row>
    <row r="186" spans="1:256" s="289" customFormat="1" ht="38.25" x14ac:dyDescent="0.3">
      <c r="A186" s="69"/>
      <c r="B186" s="8"/>
      <c r="C186" s="82" t="s">
        <v>289</v>
      </c>
      <c r="D186" s="273" t="s">
        <v>44</v>
      </c>
      <c r="E186" s="63" t="s">
        <v>45</v>
      </c>
      <c r="F186" s="77">
        <v>6</v>
      </c>
      <c r="G186" s="46">
        <v>28000</v>
      </c>
      <c r="H186" s="45">
        <v>0.8</v>
      </c>
      <c r="I186" s="31">
        <v>1.1479999999999999</v>
      </c>
      <c r="J186" s="223">
        <f t="shared" si="18"/>
        <v>154000</v>
      </c>
      <c r="K186" s="32">
        <f t="shared" si="19"/>
        <v>154000</v>
      </c>
      <c r="L186" s="261">
        <f t="shared" si="17"/>
        <v>0</v>
      </c>
      <c r="M186" s="14"/>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row>
    <row r="187" spans="1:256" s="289" customFormat="1" ht="38.25" x14ac:dyDescent="0.3">
      <c r="A187" s="69"/>
      <c r="B187" s="8"/>
      <c r="C187" s="82" t="s">
        <v>46</v>
      </c>
      <c r="D187" s="271" t="s">
        <v>47</v>
      </c>
      <c r="E187" s="63" t="s">
        <v>45</v>
      </c>
      <c r="F187" s="77">
        <v>6</v>
      </c>
      <c r="G187" s="46">
        <v>28000</v>
      </c>
      <c r="H187" s="45">
        <v>0.8</v>
      </c>
      <c r="I187" s="31">
        <v>1.1479999999999999</v>
      </c>
      <c r="J187" s="223">
        <f t="shared" si="18"/>
        <v>154000</v>
      </c>
      <c r="K187" s="32">
        <f t="shared" si="19"/>
        <v>154000</v>
      </c>
      <c r="L187" s="261">
        <f t="shared" si="17"/>
        <v>0</v>
      </c>
      <c r="M187" s="14"/>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row>
    <row r="188" spans="1:256" s="289" customFormat="1" ht="75" x14ac:dyDescent="0.3">
      <c r="A188" s="266">
        <v>2</v>
      </c>
      <c r="B188" s="150" t="s">
        <v>290</v>
      </c>
      <c r="C188" s="461" t="s">
        <v>1069</v>
      </c>
      <c r="D188" s="462"/>
      <c r="E188" s="462"/>
      <c r="F188" s="462"/>
      <c r="G188" s="462"/>
      <c r="H188" s="462"/>
      <c r="I188" s="463"/>
      <c r="J188" s="221">
        <f>SUM(J189:J199)</f>
        <v>98733000</v>
      </c>
      <c r="K188" s="32">
        <f t="shared" si="19"/>
        <v>0</v>
      </c>
      <c r="L188" s="261">
        <f t="shared" si="17"/>
        <v>98733000</v>
      </c>
      <c r="M188" s="24"/>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row>
    <row r="189" spans="1:256" ht="90" customHeight="1" x14ac:dyDescent="0.3">
      <c r="A189" s="67"/>
      <c r="B189" s="68"/>
      <c r="C189" s="25" t="s">
        <v>1062</v>
      </c>
      <c r="D189" s="267" t="s">
        <v>112</v>
      </c>
      <c r="E189" s="27" t="s">
        <v>23</v>
      </c>
      <c r="F189" s="35">
        <f>24.1+48.3+47.7+35.3</f>
        <v>155.4</v>
      </c>
      <c r="G189" s="464" t="s">
        <v>1064</v>
      </c>
      <c r="H189" s="464"/>
      <c r="I189" s="465"/>
      <c r="J189" s="227"/>
      <c r="K189" s="32"/>
      <c r="L189" s="261">
        <f t="shared" si="17"/>
        <v>0</v>
      </c>
      <c r="M189" s="14"/>
    </row>
    <row r="190" spans="1:256" ht="39.75" customHeight="1" x14ac:dyDescent="0.3">
      <c r="A190" s="69"/>
      <c r="B190" s="8"/>
      <c r="C190" s="82" t="s">
        <v>291</v>
      </c>
      <c r="D190" s="270" t="s">
        <v>29</v>
      </c>
      <c r="E190" s="27" t="s">
        <v>23</v>
      </c>
      <c r="F190" s="72">
        <f>(4.1*0.95)*2</f>
        <v>7.7899999999999991</v>
      </c>
      <c r="G190" s="29">
        <v>792000</v>
      </c>
      <c r="H190" s="45">
        <v>0.8</v>
      </c>
      <c r="I190" s="31">
        <v>1.1479999999999999</v>
      </c>
      <c r="J190" s="223">
        <f t="shared" ref="J190:J199" si="20">ROUND(F190*G190*H190*I190,-3)</f>
        <v>5666000</v>
      </c>
      <c r="K190" s="32">
        <f t="shared" ref="K190:K200" si="21">ROUND(G190*H190*I190*F190,-3)</f>
        <v>5666000</v>
      </c>
      <c r="L190" s="261">
        <f t="shared" si="17"/>
        <v>0</v>
      </c>
      <c r="M190" s="14"/>
    </row>
    <row r="191" spans="1:256" ht="39.75" customHeight="1" x14ac:dyDescent="0.3">
      <c r="A191" s="69"/>
      <c r="B191" s="8"/>
      <c r="C191" s="82" t="s">
        <v>292</v>
      </c>
      <c r="D191" s="272" t="s">
        <v>33</v>
      </c>
      <c r="E191" s="27" t="s">
        <v>23</v>
      </c>
      <c r="F191" s="72">
        <f>(4.8*0.8)*2+26.3*1.3+(3.3*2.2)*2</f>
        <v>56.39</v>
      </c>
      <c r="G191" s="29">
        <v>453000</v>
      </c>
      <c r="H191" s="45">
        <v>0.8</v>
      </c>
      <c r="I191" s="31">
        <v>1.1479999999999999</v>
      </c>
      <c r="J191" s="223">
        <f t="shared" si="20"/>
        <v>23460000</v>
      </c>
      <c r="K191" s="32">
        <f t="shared" si="21"/>
        <v>23460000</v>
      </c>
      <c r="L191" s="261">
        <f t="shared" si="17"/>
        <v>0</v>
      </c>
      <c r="M191" s="14"/>
    </row>
    <row r="192" spans="1:256" ht="39.75" customHeight="1" x14ac:dyDescent="0.3">
      <c r="A192" s="69"/>
      <c r="B192" s="8"/>
      <c r="C192" s="82" t="s">
        <v>293</v>
      </c>
      <c r="D192" s="270" t="s">
        <v>52</v>
      </c>
      <c r="E192" s="27" t="s">
        <v>23</v>
      </c>
      <c r="F192" s="72">
        <f>(6.1*2)*2</f>
        <v>24.4</v>
      </c>
      <c r="G192" s="11" t="s">
        <v>53</v>
      </c>
      <c r="H192" s="45">
        <v>0.8</v>
      </c>
      <c r="I192" s="79">
        <v>1.1479999999999999</v>
      </c>
      <c r="J192" s="223">
        <f t="shared" si="20"/>
        <v>5289000</v>
      </c>
      <c r="K192" s="32">
        <f t="shared" si="21"/>
        <v>5289000</v>
      </c>
      <c r="L192" s="261">
        <f t="shared" si="17"/>
        <v>0</v>
      </c>
      <c r="M192" s="14"/>
    </row>
    <row r="193" spans="1:13" ht="39.75" customHeight="1" x14ac:dyDescent="0.3">
      <c r="A193" s="69"/>
      <c r="B193" s="8"/>
      <c r="C193" s="82" t="s">
        <v>294</v>
      </c>
      <c r="D193" s="276" t="s">
        <v>41</v>
      </c>
      <c r="E193" s="59" t="s">
        <v>42</v>
      </c>
      <c r="F193" s="98">
        <v>4</v>
      </c>
      <c r="G193" s="11">
        <v>10650</v>
      </c>
      <c r="H193" s="60">
        <v>1</v>
      </c>
      <c r="I193" s="61">
        <v>1</v>
      </c>
      <c r="J193" s="223">
        <f t="shared" si="20"/>
        <v>43000</v>
      </c>
      <c r="K193" s="32">
        <f t="shared" si="21"/>
        <v>43000</v>
      </c>
      <c r="L193" s="261">
        <f t="shared" si="17"/>
        <v>0</v>
      </c>
      <c r="M193" s="14"/>
    </row>
    <row r="194" spans="1:13" ht="39.75" customHeight="1" x14ac:dyDescent="0.3">
      <c r="A194" s="69"/>
      <c r="B194" s="8"/>
      <c r="C194" s="82" t="s">
        <v>295</v>
      </c>
      <c r="D194" s="276" t="s">
        <v>41</v>
      </c>
      <c r="E194" s="59" t="s">
        <v>42</v>
      </c>
      <c r="F194" s="98">
        <v>4</v>
      </c>
      <c r="G194" s="11">
        <v>10650</v>
      </c>
      <c r="H194" s="60">
        <v>1</v>
      </c>
      <c r="I194" s="61">
        <v>1</v>
      </c>
      <c r="J194" s="223">
        <f t="shared" si="20"/>
        <v>43000</v>
      </c>
      <c r="K194" s="32">
        <f t="shared" si="21"/>
        <v>43000</v>
      </c>
      <c r="L194" s="261">
        <f t="shared" si="17"/>
        <v>0</v>
      </c>
      <c r="M194" s="14"/>
    </row>
    <row r="195" spans="1:13" ht="39.75" customHeight="1" x14ac:dyDescent="0.3">
      <c r="A195" s="69"/>
      <c r="B195" s="8"/>
      <c r="C195" s="82" t="s">
        <v>43</v>
      </c>
      <c r="D195" s="273" t="s">
        <v>44</v>
      </c>
      <c r="E195" s="63" t="s">
        <v>45</v>
      </c>
      <c r="F195" s="77">
        <v>6</v>
      </c>
      <c r="G195" s="46">
        <v>28000</v>
      </c>
      <c r="H195" s="45">
        <v>0.8</v>
      </c>
      <c r="I195" s="31">
        <v>1.1479999999999999</v>
      </c>
      <c r="J195" s="223">
        <f t="shared" si="20"/>
        <v>154000</v>
      </c>
      <c r="K195" s="32">
        <f t="shared" si="21"/>
        <v>154000</v>
      </c>
      <c r="L195" s="261">
        <f t="shared" si="17"/>
        <v>0</v>
      </c>
      <c r="M195" s="14"/>
    </row>
    <row r="196" spans="1:13" ht="39.75" customHeight="1" x14ac:dyDescent="0.3">
      <c r="A196" s="69"/>
      <c r="B196" s="8"/>
      <c r="C196" s="82" t="s">
        <v>46</v>
      </c>
      <c r="D196" s="271" t="s">
        <v>47</v>
      </c>
      <c r="E196" s="63" t="s">
        <v>45</v>
      </c>
      <c r="F196" s="77">
        <v>6</v>
      </c>
      <c r="G196" s="46">
        <v>28000</v>
      </c>
      <c r="H196" s="45">
        <v>0.8</v>
      </c>
      <c r="I196" s="31">
        <v>1.1479999999999999</v>
      </c>
      <c r="J196" s="223">
        <f t="shared" si="20"/>
        <v>154000</v>
      </c>
      <c r="K196" s="32">
        <f t="shared" si="21"/>
        <v>154000</v>
      </c>
      <c r="L196" s="261">
        <f t="shared" si="17"/>
        <v>0</v>
      </c>
      <c r="M196" s="14"/>
    </row>
    <row r="197" spans="1:13" ht="39.75" customHeight="1" x14ac:dyDescent="0.3">
      <c r="A197" s="69"/>
      <c r="B197" s="8"/>
      <c r="C197" s="143" t="s">
        <v>296</v>
      </c>
      <c r="D197" s="267" t="s">
        <v>24</v>
      </c>
      <c r="E197" s="27" t="s">
        <v>25</v>
      </c>
      <c r="F197" s="28">
        <f>(0.25*0.25*1.75)*2</f>
        <v>0.21875</v>
      </c>
      <c r="G197" s="29">
        <v>2828000</v>
      </c>
      <c r="H197" s="45">
        <v>0.8</v>
      </c>
      <c r="I197" s="31">
        <v>1.1479999999999999</v>
      </c>
      <c r="J197" s="223">
        <f t="shared" si="20"/>
        <v>568000</v>
      </c>
      <c r="K197" s="32">
        <f t="shared" si="21"/>
        <v>568000</v>
      </c>
      <c r="L197" s="261">
        <f t="shared" si="17"/>
        <v>0</v>
      </c>
      <c r="M197" s="14"/>
    </row>
    <row r="198" spans="1:13" ht="39.75" customHeight="1" x14ac:dyDescent="0.3">
      <c r="A198" s="104"/>
      <c r="B198" s="105"/>
      <c r="C198" s="113" t="s">
        <v>297</v>
      </c>
      <c r="D198" s="271" t="s">
        <v>32</v>
      </c>
      <c r="E198" s="27" t="s">
        <v>23</v>
      </c>
      <c r="F198" s="123">
        <f>5.2*26.3</f>
        <v>136.76000000000002</v>
      </c>
      <c r="G198" s="29">
        <v>215000</v>
      </c>
      <c r="H198" s="45">
        <v>0.8</v>
      </c>
      <c r="I198" s="31">
        <v>1.1479999999999999</v>
      </c>
      <c r="J198" s="223">
        <f t="shared" si="20"/>
        <v>27004000</v>
      </c>
      <c r="K198" s="32">
        <f t="shared" si="21"/>
        <v>27004000</v>
      </c>
      <c r="L198" s="261">
        <f t="shared" si="17"/>
        <v>0</v>
      </c>
      <c r="M198" s="14"/>
    </row>
    <row r="199" spans="1:13" ht="39.75" customHeight="1" x14ac:dyDescent="0.3">
      <c r="A199" s="69"/>
      <c r="B199" s="8"/>
      <c r="C199" s="82" t="s">
        <v>298</v>
      </c>
      <c r="D199" s="271" t="s">
        <v>32</v>
      </c>
      <c r="E199" s="27" t="s">
        <v>23</v>
      </c>
      <c r="F199" s="91">
        <f>7*26.3</f>
        <v>184.1</v>
      </c>
      <c r="G199" s="29">
        <v>215000</v>
      </c>
      <c r="H199" s="45">
        <v>0.8</v>
      </c>
      <c r="I199" s="31">
        <v>1.1479999999999999</v>
      </c>
      <c r="J199" s="223">
        <f t="shared" si="20"/>
        <v>36352000</v>
      </c>
      <c r="K199" s="32">
        <f t="shared" si="21"/>
        <v>36352000</v>
      </c>
      <c r="L199" s="261">
        <f t="shared" si="17"/>
        <v>0</v>
      </c>
      <c r="M199" s="14"/>
    </row>
    <row r="200" spans="1:13" ht="61.5" customHeight="1" x14ac:dyDescent="0.3">
      <c r="A200" s="149">
        <v>3</v>
      </c>
      <c r="B200" s="150" t="s">
        <v>299</v>
      </c>
      <c r="C200" s="455" t="s">
        <v>1073</v>
      </c>
      <c r="D200" s="456"/>
      <c r="E200" s="456"/>
      <c r="F200" s="456"/>
      <c r="G200" s="456"/>
      <c r="H200" s="456"/>
      <c r="I200" s="457"/>
      <c r="J200" s="221">
        <f>SUM(J201:J210)</f>
        <v>206890000</v>
      </c>
      <c r="K200" s="32">
        <f t="shared" si="21"/>
        <v>0</v>
      </c>
      <c r="L200" s="261">
        <f t="shared" si="17"/>
        <v>206890000</v>
      </c>
      <c r="M200" s="24"/>
    </row>
    <row r="201" spans="1:13" ht="90" customHeight="1" x14ac:dyDescent="0.3">
      <c r="A201" s="69"/>
      <c r="B201" s="8"/>
      <c r="C201" s="25" t="s">
        <v>1062</v>
      </c>
      <c r="D201" s="267" t="s">
        <v>112</v>
      </c>
      <c r="E201" s="27" t="s">
        <v>23</v>
      </c>
      <c r="F201" s="35">
        <v>45.9</v>
      </c>
      <c r="G201" s="464" t="s">
        <v>1064</v>
      </c>
      <c r="H201" s="464"/>
      <c r="I201" s="465"/>
      <c r="J201" s="223"/>
      <c r="K201" s="32"/>
      <c r="L201" s="261">
        <f t="shared" ref="L201:L264" si="22">J201-K201</f>
        <v>0</v>
      </c>
      <c r="M201" s="14"/>
    </row>
    <row r="202" spans="1:13" ht="56.25" x14ac:dyDescent="0.3">
      <c r="A202" s="69"/>
      <c r="B202" s="8"/>
      <c r="C202" s="82" t="s">
        <v>300</v>
      </c>
      <c r="D202" s="274" t="s">
        <v>63</v>
      </c>
      <c r="E202" s="27" t="s">
        <v>23</v>
      </c>
      <c r="F202" s="75">
        <f>8.1*7.6</f>
        <v>61.559999999999995</v>
      </c>
      <c r="G202" s="100">
        <f>2975000</f>
        <v>2975000</v>
      </c>
      <c r="H202" s="45">
        <v>0.8</v>
      </c>
      <c r="I202" s="102">
        <v>1.1479999999999999</v>
      </c>
      <c r="J202" s="223">
        <f t="shared" ref="J202:J210" si="23">ROUND(F202*G202*H202*I202,-3)</f>
        <v>168197000</v>
      </c>
      <c r="K202" s="32">
        <f t="shared" ref="K202:K211" si="24">ROUND(G202*H202*I202*F202,-3)</f>
        <v>168197000</v>
      </c>
      <c r="L202" s="261">
        <f t="shared" si="22"/>
        <v>0</v>
      </c>
      <c r="M202" s="14"/>
    </row>
    <row r="203" spans="1:13" ht="37.5" customHeight="1" x14ac:dyDescent="0.3">
      <c r="A203" s="153"/>
      <c r="B203" s="154"/>
      <c r="C203" s="155" t="s">
        <v>301</v>
      </c>
      <c r="D203" s="270" t="s">
        <v>51</v>
      </c>
      <c r="E203" s="27" t="s">
        <v>23</v>
      </c>
      <c r="F203" s="156">
        <f>5.5*8.1</f>
        <v>44.55</v>
      </c>
      <c r="G203" s="29">
        <v>453000</v>
      </c>
      <c r="H203" s="45">
        <v>0.8</v>
      </c>
      <c r="I203" s="31">
        <v>1.1479999999999999</v>
      </c>
      <c r="J203" s="223">
        <f t="shared" si="23"/>
        <v>18534000</v>
      </c>
      <c r="K203" s="32">
        <f t="shared" si="24"/>
        <v>18534000</v>
      </c>
      <c r="L203" s="261">
        <f t="shared" si="22"/>
        <v>0</v>
      </c>
      <c r="M203" s="24"/>
    </row>
    <row r="204" spans="1:13" ht="25.5" x14ac:dyDescent="0.3">
      <c r="A204" s="69"/>
      <c r="B204" s="8"/>
      <c r="C204" s="82" t="s">
        <v>1071</v>
      </c>
      <c r="D204" s="270" t="s">
        <v>66</v>
      </c>
      <c r="E204" s="27" t="s">
        <v>23</v>
      </c>
      <c r="F204" s="72">
        <f>(1.2*4.1)*2+5.7*0.2</f>
        <v>10.979999999999999</v>
      </c>
      <c r="G204" s="29">
        <v>339000</v>
      </c>
      <c r="H204" s="45">
        <v>0.8</v>
      </c>
      <c r="I204" s="31">
        <v>1.1479999999999999</v>
      </c>
      <c r="J204" s="223">
        <f t="shared" si="23"/>
        <v>3418000</v>
      </c>
      <c r="K204" s="32">
        <f t="shared" si="24"/>
        <v>3418000</v>
      </c>
      <c r="L204" s="261">
        <f t="shared" si="22"/>
        <v>0</v>
      </c>
      <c r="M204" s="14"/>
    </row>
    <row r="205" spans="1:13" ht="38.25" x14ac:dyDescent="0.3">
      <c r="A205" s="69"/>
      <c r="B205" s="8"/>
      <c r="C205" s="82" t="s">
        <v>302</v>
      </c>
      <c r="D205" s="271" t="s">
        <v>32</v>
      </c>
      <c r="E205" s="27" t="s">
        <v>23</v>
      </c>
      <c r="F205" s="72">
        <f>5.5*8.1</f>
        <v>44.55</v>
      </c>
      <c r="G205" s="29">
        <v>215000</v>
      </c>
      <c r="H205" s="45">
        <v>0.8</v>
      </c>
      <c r="I205" s="31">
        <v>1.1479999999999999</v>
      </c>
      <c r="J205" s="223">
        <f t="shared" si="23"/>
        <v>8797000</v>
      </c>
      <c r="K205" s="32">
        <f t="shared" si="24"/>
        <v>8797000</v>
      </c>
      <c r="L205" s="261">
        <f t="shared" si="22"/>
        <v>0</v>
      </c>
      <c r="M205" s="14"/>
    </row>
    <row r="206" spans="1:13" ht="38.25" x14ac:dyDescent="0.3">
      <c r="A206" s="69"/>
      <c r="B206" s="8"/>
      <c r="C206" s="82" t="s">
        <v>303</v>
      </c>
      <c r="D206" s="271" t="s">
        <v>32</v>
      </c>
      <c r="E206" s="27" t="s">
        <v>23</v>
      </c>
      <c r="F206" s="72">
        <f>4.2*8.1</f>
        <v>34.020000000000003</v>
      </c>
      <c r="G206" s="29">
        <v>215000</v>
      </c>
      <c r="H206" s="45">
        <v>0.8</v>
      </c>
      <c r="I206" s="31">
        <v>1.1479999999999999</v>
      </c>
      <c r="J206" s="223">
        <f t="shared" si="23"/>
        <v>6717000</v>
      </c>
      <c r="K206" s="32">
        <f t="shared" si="24"/>
        <v>6717000</v>
      </c>
      <c r="L206" s="261">
        <f t="shared" si="22"/>
        <v>0</v>
      </c>
      <c r="M206" s="14"/>
    </row>
    <row r="207" spans="1:13" ht="43.5" customHeight="1" x14ac:dyDescent="0.3">
      <c r="A207" s="69"/>
      <c r="B207" s="8"/>
      <c r="C207" s="82" t="s">
        <v>1072</v>
      </c>
      <c r="D207" s="270" t="s">
        <v>52</v>
      </c>
      <c r="E207" s="96" t="s">
        <v>91</v>
      </c>
      <c r="F207" s="72">
        <f>0.5*8.1</f>
        <v>4.05</v>
      </c>
      <c r="G207" s="11">
        <v>236000</v>
      </c>
      <c r="H207" s="45">
        <v>0.8</v>
      </c>
      <c r="I207" s="31">
        <v>1.1479999999999999</v>
      </c>
      <c r="J207" s="223">
        <f>ROUND(F207*G207*H207*I207,-3)</f>
        <v>878000</v>
      </c>
      <c r="K207" s="32">
        <f t="shared" si="24"/>
        <v>878000</v>
      </c>
      <c r="L207" s="261">
        <f t="shared" si="22"/>
        <v>0</v>
      </c>
      <c r="M207" s="14"/>
    </row>
    <row r="208" spans="1:13" ht="25.5" x14ac:dyDescent="0.3">
      <c r="A208" s="69"/>
      <c r="B208" s="8"/>
      <c r="C208" s="82" t="s">
        <v>304</v>
      </c>
      <c r="D208" s="271" t="s">
        <v>864</v>
      </c>
      <c r="E208" s="27" t="s">
        <v>35</v>
      </c>
      <c r="F208" s="98">
        <v>1</v>
      </c>
      <c r="G208" s="29">
        <v>40910</v>
      </c>
      <c r="H208" s="50">
        <v>1</v>
      </c>
      <c r="I208" s="51">
        <v>1</v>
      </c>
      <c r="J208" s="223">
        <f t="shared" si="23"/>
        <v>41000</v>
      </c>
      <c r="K208" s="32">
        <f t="shared" si="24"/>
        <v>41000</v>
      </c>
      <c r="L208" s="261">
        <f t="shared" si="22"/>
        <v>0</v>
      </c>
      <c r="M208" s="14"/>
    </row>
    <row r="209" spans="1:13" ht="38.25" x14ac:dyDescent="0.3">
      <c r="A209" s="69"/>
      <c r="B209" s="8"/>
      <c r="C209" s="82" t="s">
        <v>46</v>
      </c>
      <c r="D209" s="271" t="s">
        <v>47</v>
      </c>
      <c r="E209" s="63" t="s">
        <v>45</v>
      </c>
      <c r="F209" s="77">
        <v>6</v>
      </c>
      <c r="G209" s="46">
        <v>28000</v>
      </c>
      <c r="H209" s="45">
        <v>0.8</v>
      </c>
      <c r="I209" s="31">
        <v>1.1479999999999999</v>
      </c>
      <c r="J209" s="223">
        <f t="shared" si="23"/>
        <v>154000</v>
      </c>
      <c r="K209" s="32">
        <f t="shared" si="24"/>
        <v>154000</v>
      </c>
      <c r="L209" s="261">
        <f t="shared" si="22"/>
        <v>0</v>
      </c>
      <c r="M209" s="14"/>
    </row>
    <row r="210" spans="1:13" ht="38.25" x14ac:dyDescent="0.3">
      <c r="A210" s="69"/>
      <c r="B210" s="8"/>
      <c r="C210" s="82" t="s">
        <v>305</v>
      </c>
      <c r="D210" s="271" t="s">
        <v>47</v>
      </c>
      <c r="E210" s="63" t="s">
        <v>45</v>
      </c>
      <c r="F210" s="77">
        <v>6</v>
      </c>
      <c r="G210" s="46">
        <v>28000</v>
      </c>
      <c r="H210" s="45">
        <v>0.8</v>
      </c>
      <c r="I210" s="31">
        <v>1.1479999999999999</v>
      </c>
      <c r="J210" s="223">
        <f t="shared" si="23"/>
        <v>154000</v>
      </c>
      <c r="K210" s="32">
        <f t="shared" si="24"/>
        <v>154000</v>
      </c>
      <c r="L210" s="261">
        <f t="shared" si="22"/>
        <v>0</v>
      </c>
      <c r="M210" s="14"/>
    </row>
    <row r="211" spans="1:13" ht="61.5" customHeight="1" x14ac:dyDescent="0.3">
      <c r="A211" s="149">
        <v>4</v>
      </c>
      <c r="B211" s="150" t="s">
        <v>306</v>
      </c>
      <c r="C211" s="455" t="s">
        <v>1074</v>
      </c>
      <c r="D211" s="456"/>
      <c r="E211" s="456"/>
      <c r="F211" s="456"/>
      <c r="G211" s="456"/>
      <c r="H211" s="456"/>
      <c r="I211" s="457"/>
      <c r="J211" s="221">
        <f>SUM(J212:J231)</f>
        <v>112523000</v>
      </c>
      <c r="K211" s="32">
        <f t="shared" si="24"/>
        <v>0</v>
      </c>
      <c r="L211" s="261">
        <f t="shared" si="22"/>
        <v>112523000</v>
      </c>
      <c r="M211" s="24"/>
    </row>
    <row r="212" spans="1:13" ht="90" customHeight="1" x14ac:dyDescent="0.25">
      <c r="A212" s="67"/>
      <c r="B212" s="68"/>
      <c r="C212" s="25" t="s">
        <v>1062</v>
      </c>
      <c r="D212" s="267" t="s">
        <v>112</v>
      </c>
      <c r="E212" s="27" t="s">
        <v>23</v>
      </c>
      <c r="F212" s="35">
        <v>53.3</v>
      </c>
      <c r="G212" s="464" t="s">
        <v>1064</v>
      </c>
      <c r="H212" s="464"/>
      <c r="I212" s="465"/>
      <c r="J212" s="227"/>
      <c r="K212" s="32"/>
      <c r="L212" s="261">
        <f t="shared" si="22"/>
        <v>0</v>
      </c>
      <c r="M212" s="251"/>
    </row>
    <row r="213" spans="1:13" ht="38.25" x14ac:dyDescent="0.3">
      <c r="A213" s="67"/>
      <c r="B213" s="68"/>
      <c r="C213" s="20" t="s">
        <v>307</v>
      </c>
      <c r="D213" s="267" t="s">
        <v>24</v>
      </c>
      <c r="E213" s="27" t="s">
        <v>25</v>
      </c>
      <c r="F213" s="28">
        <f>(0.6*0.6*4)*2</f>
        <v>2.88</v>
      </c>
      <c r="G213" s="29">
        <v>2828000</v>
      </c>
      <c r="H213" s="45">
        <v>0.8</v>
      </c>
      <c r="I213" s="31">
        <v>1.1479999999999999</v>
      </c>
      <c r="J213" s="223">
        <f t="shared" ref="J213:J231" si="25">ROUND(F213*G213*H213*I213,-3)</f>
        <v>7480000</v>
      </c>
      <c r="K213" s="32">
        <f t="shared" ref="K213:K232" si="26">ROUND(G213*H213*I213*F213,-3)</f>
        <v>7480000</v>
      </c>
      <c r="L213" s="261">
        <f t="shared" si="22"/>
        <v>0</v>
      </c>
      <c r="M213" s="14"/>
    </row>
    <row r="214" spans="1:13" ht="41.25" customHeight="1" x14ac:dyDescent="0.3">
      <c r="A214" s="69"/>
      <c r="B214" s="8"/>
      <c r="C214" s="82" t="s">
        <v>308</v>
      </c>
      <c r="D214" s="270" t="s">
        <v>28</v>
      </c>
      <c r="E214" s="27" t="s">
        <v>23</v>
      </c>
      <c r="F214" s="72">
        <f>(0.6*2.5)*8</f>
        <v>12</v>
      </c>
      <c r="G214" s="11">
        <v>396000</v>
      </c>
      <c r="H214" s="45">
        <v>0.8</v>
      </c>
      <c r="I214" s="31">
        <v>1.1479999999999999</v>
      </c>
      <c r="J214" s="223">
        <f t="shared" si="25"/>
        <v>4364000</v>
      </c>
      <c r="K214" s="32">
        <f t="shared" si="26"/>
        <v>4364000</v>
      </c>
      <c r="L214" s="261">
        <f t="shared" si="22"/>
        <v>0</v>
      </c>
      <c r="M214" s="14"/>
    </row>
    <row r="215" spans="1:13" ht="56.25" x14ac:dyDescent="0.3">
      <c r="A215" s="69"/>
      <c r="B215" s="8"/>
      <c r="C215" s="82" t="s">
        <v>1075</v>
      </c>
      <c r="D215" s="271" t="s">
        <v>309</v>
      </c>
      <c r="E215" s="27" t="s">
        <v>23</v>
      </c>
      <c r="F215" s="72">
        <f>2.4*5.1</f>
        <v>12.239999999999998</v>
      </c>
      <c r="G215" s="29">
        <v>1566000</v>
      </c>
      <c r="H215" s="45">
        <v>0.8</v>
      </c>
      <c r="I215" s="159">
        <v>1.1479999999999999</v>
      </c>
      <c r="J215" s="223">
        <f t="shared" si="25"/>
        <v>17604000</v>
      </c>
      <c r="K215" s="32">
        <f t="shared" si="26"/>
        <v>17604000</v>
      </c>
      <c r="L215" s="261">
        <f t="shared" si="22"/>
        <v>0</v>
      </c>
      <c r="M215" s="14"/>
    </row>
    <row r="216" spans="1:13" ht="38.25" x14ac:dyDescent="0.3">
      <c r="A216" s="69"/>
      <c r="B216" s="8"/>
      <c r="C216" s="82" t="s">
        <v>310</v>
      </c>
      <c r="D216" s="267" t="s">
        <v>24</v>
      </c>
      <c r="E216" s="8" t="s">
        <v>25</v>
      </c>
      <c r="F216" s="72">
        <f>(3.4*0.2*0.1)*2</f>
        <v>0.13600000000000001</v>
      </c>
      <c r="G216" s="29">
        <v>2828000</v>
      </c>
      <c r="H216" s="45">
        <v>0.8</v>
      </c>
      <c r="I216" s="31">
        <v>1.1479999999999999</v>
      </c>
      <c r="J216" s="223">
        <f t="shared" si="25"/>
        <v>353000</v>
      </c>
      <c r="K216" s="32">
        <f t="shared" si="26"/>
        <v>353000</v>
      </c>
      <c r="L216" s="261">
        <f t="shared" si="22"/>
        <v>0</v>
      </c>
      <c r="M216" s="14"/>
    </row>
    <row r="217" spans="1:13" ht="37.5" x14ac:dyDescent="0.3">
      <c r="A217" s="69"/>
      <c r="B217" s="8"/>
      <c r="C217" s="82" t="s">
        <v>311</v>
      </c>
      <c r="D217" s="270" t="s">
        <v>29</v>
      </c>
      <c r="E217" s="27" t="s">
        <v>23</v>
      </c>
      <c r="F217" s="72">
        <f>2.45*4.6+(1.55*5)*2+3.1*0.5</f>
        <v>28.32</v>
      </c>
      <c r="G217" s="29">
        <v>792000</v>
      </c>
      <c r="H217" s="45">
        <v>0.8</v>
      </c>
      <c r="I217" s="31">
        <v>1.1479999999999999</v>
      </c>
      <c r="J217" s="223">
        <f t="shared" si="25"/>
        <v>20599000</v>
      </c>
      <c r="K217" s="32">
        <f t="shared" si="26"/>
        <v>20599000</v>
      </c>
      <c r="L217" s="261">
        <f t="shared" si="22"/>
        <v>0</v>
      </c>
      <c r="M217" s="158"/>
    </row>
    <row r="218" spans="1:13" ht="37.5" x14ac:dyDescent="0.3">
      <c r="A218" s="69"/>
      <c r="B218" s="8"/>
      <c r="C218" s="82" t="s">
        <v>312</v>
      </c>
      <c r="D218" s="272" t="s">
        <v>33</v>
      </c>
      <c r="E218" s="27" t="s">
        <v>23</v>
      </c>
      <c r="F218" s="72">
        <f>0.7*4.6+(5.5*1.2)*2</f>
        <v>16.419999999999998</v>
      </c>
      <c r="G218" s="29">
        <v>453000</v>
      </c>
      <c r="H218" s="45">
        <v>0.8</v>
      </c>
      <c r="I218" s="31">
        <v>1.1479999999999999</v>
      </c>
      <c r="J218" s="223">
        <f t="shared" si="25"/>
        <v>6831000</v>
      </c>
      <c r="K218" s="32">
        <f t="shared" si="26"/>
        <v>6831000</v>
      </c>
      <c r="L218" s="261">
        <f t="shared" si="22"/>
        <v>0</v>
      </c>
      <c r="M218" s="14"/>
    </row>
    <row r="219" spans="1:13" ht="38.25" x14ac:dyDescent="0.3">
      <c r="A219" s="69"/>
      <c r="B219" s="8"/>
      <c r="C219" s="82" t="s">
        <v>313</v>
      </c>
      <c r="D219" s="267" t="s">
        <v>26</v>
      </c>
      <c r="E219" s="27" t="s">
        <v>23</v>
      </c>
      <c r="F219" s="89">
        <f>2.5*3.2</f>
        <v>8</v>
      </c>
      <c r="G219" s="29">
        <v>679000</v>
      </c>
      <c r="H219" s="45">
        <v>0.8</v>
      </c>
      <c r="I219" s="31">
        <v>1.1479999999999999</v>
      </c>
      <c r="J219" s="223">
        <f t="shared" si="25"/>
        <v>4989000</v>
      </c>
      <c r="K219" s="32">
        <f t="shared" si="26"/>
        <v>4989000</v>
      </c>
      <c r="L219" s="261">
        <f t="shared" si="22"/>
        <v>0</v>
      </c>
      <c r="M219" s="14"/>
    </row>
    <row r="220" spans="1:13" ht="38.25" x14ac:dyDescent="0.3">
      <c r="A220" s="69"/>
      <c r="B220" s="8"/>
      <c r="C220" s="82" t="s">
        <v>314</v>
      </c>
      <c r="D220" s="267" t="s">
        <v>24</v>
      </c>
      <c r="E220" s="27" t="s">
        <v>25</v>
      </c>
      <c r="F220" s="72">
        <f>(2.3*0.25*0.25)*6</f>
        <v>0.86249999999999993</v>
      </c>
      <c r="G220" s="29">
        <v>2828000</v>
      </c>
      <c r="H220" s="45">
        <v>0.8</v>
      </c>
      <c r="I220" s="31">
        <v>1.1479999999999999</v>
      </c>
      <c r="J220" s="223">
        <f t="shared" si="25"/>
        <v>2240000</v>
      </c>
      <c r="K220" s="32">
        <f t="shared" si="26"/>
        <v>2240000</v>
      </c>
      <c r="L220" s="261">
        <f t="shared" si="22"/>
        <v>0</v>
      </c>
      <c r="M220" s="14"/>
    </row>
    <row r="221" spans="1:13" ht="36" customHeight="1" x14ac:dyDescent="0.3">
      <c r="A221" s="69"/>
      <c r="B221" s="8"/>
      <c r="C221" s="82" t="s">
        <v>315</v>
      </c>
      <c r="D221" s="270" t="s">
        <v>66</v>
      </c>
      <c r="E221" s="27" t="s">
        <v>23</v>
      </c>
      <c r="F221" s="72">
        <f>3.1*0.65</f>
        <v>2.0150000000000001</v>
      </c>
      <c r="G221" s="29">
        <v>339000</v>
      </c>
      <c r="H221" s="45">
        <v>0.8</v>
      </c>
      <c r="I221" s="31">
        <v>1.1479999999999999</v>
      </c>
      <c r="J221" s="223">
        <f t="shared" si="25"/>
        <v>627000</v>
      </c>
      <c r="K221" s="32">
        <f t="shared" si="26"/>
        <v>627000</v>
      </c>
      <c r="L221" s="261">
        <f t="shared" si="22"/>
        <v>0</v>
      </c>
      <c r="M221" s="14"/>
    </row>
    <row r="222" spans="1:13" ht="36" customHeight="1" x14ac:dyDescent="0.3">
      <c r="A222" s="69"/>
      <c r="B222" s="8"/>
      <c r="C222" s="82" t="s">
        <v>316</v>
      </c>
      <c r="D222" s="270" t="s">
        <v>31</v>
      </c>
      <c r="E222" s="27" t="s">
        <v>23</v>
      </c>
      <c r="F222" s="75">
        <f>5.7*8.6</f>
        <v>49.019999999999996</v>
      </c>
      <c r="G222" s="29">
        <v>339000</v>
      </c>
      <c r="H222" s="45">
        <v>0.8</v>
      </c>
      <c r="I222" s="31">
        <v>1.1479999999999999</v>
      </c>
      <c r="J222" s="223">
        <f t="shared" si="25"/>
        <v>15262000</v>
      </c>
      <c r="K222" s="32">
        <f t="shared" si="26"/>
        <v>15262000</v>
      </c>
      <c r="L222" s="261">
        <f t="shared" si="22"/>
        <v>0</v>
      </c>
      <c r="M222" s="14"/>
    </row>
    <row r="223" spans="1:13" ht="25.5" x14ac:dyDescent="0.3">
      <c r="A223" s="69"/>
      <c r="B223" s="8"/>
      <c r="C223" s="82" t="s">
        <v>317</v>
      </c>
      <c r="D223" s="270" t="s">
        <v>31</v>
      </c>
      <c r="E223" s="27" t="s">
        <v>23</v>
      </c>
      <c r="F223" s="75">
        <f>6.9*9.3</f>
        <v>64.17</v>
      </c>
      <c r="G223" s="29">
        <v>339000</v>
      </c>
      <c r="H223" s="45">
        <v>0.8</v>
      </c>
      <c r="I223" s="31">
        <v>1.1479999999999999</v>
      </c>
      <c r="J223" s="223">
        <f t="shared" si="25"/>
        <v>19979000</v>
      </c>
      <c r="K223" s="32">
        <f t="shared" si="26"/>
        <v>19979000</v>
      </c>
      <c r="L223" s="261">
        <f t="shared" si="22"/>
        <v>0</v>
      </c>
      <c r="M223" s="14"/>
    </row>
    <row r="224" spans="1:13" ht="38.25" x14ac:dyDescent="0.3">
      <c r="A224" s="69"/>
      <c r="B224" s="8"/>
      <c r="C224" s="82" t="s">
        <v>43</v>
      </c>
      <c r="D224" s="273" t="s">
        <v>44</v>
      </c>
      <c r="E224" s="63" t="s">
        <v>45</v>
      </c>
      <c r="F224" s="77">
        <v>6</v>
      </c>
      <c r="G224" s="46">
        <v>28000</v>
      </c>
      <c r="H224" s="45">
        <v>0.8</v>
      </c>
      <c r="I224" s="31">
        <v>1.1479999999999999</v>
      </c>
      <c r="J224" s="223">
        <f t="shared" si="25"/>
        <v>154000</v>
      </c>
      <c r="K224" s="32">
        <f t="shared" si="26"/>
        <v>154000</v>
      </c>
      <c r="L224" s="261">
        <f t="shared" si="22"/>
        <v>0</v>
      </c>
      <c r="M224" s="14"/>
    </row>
    <row r="225" spans="1:13" ht="38.25" x14ac:dyDescent="0.3">
      <c r="A225" s="69"/>
      <c r="B225" s="8"/>
      <c r="C225" s="82" t="s">
        <v>46</v>
      </c>
      <c r="D225" s="271" t="s">
        <v>47</v>
      </c>
      <c r="E225" s="63" t="s">
        <v>45</v>
      </c>
      <c r="F225" s="77">
        <v>6</v>
      </c>
      <c r="G225" s="46">
        <v>28000</v>
      </c>
      <c r="H225" s="45">
        <v>0.8</v>
      </c>
      <c r="I225" s="31">
        <v>1.1479999999999999</v>
      </c>
      <c r="J225" s="223">
        <f t="shared" si="25"/>
        <v>154000</v>
      </c>
      <c r="K225" s="32">
        <f t="shared" si="26"/>
        <v>154000</v>
      </c>
      <c r="L225" s="261">
        <f t="shared" si="22"/>
        <v>0</v>
      </c>
      <c r="M225" s="14"/>
    </row>
    <row r="226" spans="1:13" ht="25.5" x14ac:dyDescent="0.3">
      <c r="A226" s="69"/>
      <c r="B226" s="8"/>
      <c r="C226" s="82" t="s">
        <v>318</v>
      </c>
      <c r="D226" s="277" t="s">
        <v>824</v>
      </c>
      <c r="E226" s="174" t="s">
        <v>828</v>
      </c>
      <c r="F226" s="72">
        <v>3</v>
      </c>
      <c r="G226" s="180">
        <v>3200</v>
      </c>
      <c r="H226" s="50">
        <v>1</v>
      </c>
      <c r="I226" s="51">
        <v>1</v>
      </c>
      <c r="J226" s="229">
        <f t="shared" si="25"/>
        <v>10000</v>
      </c>
      <c r="K226" s="32">
        <f t="shared" si="26"/>
        <v>10000</v>
      </c>
      <c r="L226" s="261">
        <f t="shared" si="22"/>
        <v>0</v>
      </c>
      <c r="M226" s="14"/>
    </row>
    <row r="227" spans="1:13" ht="39" customHeight="1" x14ac:dyDescent="0.3">
      <c r="A227" s="69"/>
      <c r="B227" s="8"/>
      <c r="C227" s="113" t="s">
        <v>319</v>
      </c>
      <c r="D227" s="276" t="s">
        <v>41</v>
      </c>
      <c r="E227" s="59" t="s">
        <v>42</v>
      </c>
      <c r="F227" s="116">
        <v>12</v>
      </c>
      <c r="G227" s="115">
        <v>31950</v>
      </c>
      <c r="H227" s="60">
        <v>1</v>
      </c>
      <c r="I227" s="61">
        <v>1</v>
      </c>
      <c r="J227" s="223">
        <f t="shared" si="25"/>
        <v>383000</v>
      </c>
      <c r="K227" s="32">
        <f t="shared" si="26"/>
        <v>383000</v>
      </c>
      <c r="L227" s="261">
        <f t="shared" si="22"/>
        <v>0</v>
      </c>
      <c r="M227" s="14"/>
    </row>
    <row r="228" spans="1:13" ht="25.5" x14ac:dyDescent="0.3">
      <c r="A228" s="69"/>
      <c r="B228" s="8"/>
      <c r="C228" s="82" t="s">
        <v>320</v>
      </c>
      <c r="D228" s="276" t="s">
        <v>41</v>
      </c>
      <c r="E228" s="59" t="s">
        <v>42</v>
      </c>
      <c r="F228" s="98">
        <v>15</v>
      </c>
      <c r="G228" s="11">
        <v>10650</v>
      </c>
      <c r="H228" s="60">
        <v>1</v>
      </c>
      <c r="I228" s="61">
        <v>1</v>
      </c>
      <c r="J228" s="223">
        <f t="shared" si="25"/>
        <v>160000</v>
      </c>
      <c r="K228" s="32">
        <f t="shared" si="26"/>
        <v>160000</v>
      </c>
      <c r="L228" s="261">
        <f t="shared" si="22"/>
        <v>0</v>
      </c>
      <c r="M228" s="14"/>
    </row>
    <row r="229" spans="1:13" ht="40.5" customHeight="1" x14ac:dyDescent="0.3">
      <c r="A229" s="69"/>
      <c r="B229" s="8"/>
      <c r="C229" s="82" t="s">
        <v>321</v>
      </c>
      <c r="D229" s="278" t="s">
        <v>38</v>
      </c>
      <c r="E229" s="141" t="s">
        <v>39</v>
      </c>
      <c r="F229" s="98">
        <v>2</v>
      </c>
      <c r="G229" s="145">
        <v>1018000</v>
      </c>
      <c r="H229" s="45">
        <v>0.8</v>
      </c>
      <c r="I229" s="146">
        <v>1.1479999999999999</v>
      </c>
      <c r="J229" s="226">
        <f t="shared" si="25"/>
        <v>1870000</v>
      </c>
      <c r="K229" s="32">
        <f t="shared" si="26"/>
        <v>1870000</v>
      </c>
      <c r="L229" s="261">
        <f t="shared" si="22"/>
        <v>0</v>
      </c>
      <c r="M229" s="14"/>
    </row>
    <row r="230" spans="1:13" ht="40.5" customHeight="1" x14ac:dyDescent="0.3">
      <c r="A230" s="69"/>
      <c r="B230" s="8"/>
      <c r="C230" s="82" t="s">
        <v>322</v>
      </c>
      <c r="D230" s="272" t="s">
        <v>33</v>
      </c>
      <c r="E230" s="27" t="s">
        <v>23</v>
      </c>
      <c r="F230" s="89">
        <f>0.3*3.4+5.7*1.4</f>
        <v>9</v>
      </c>
      <c r="G230" s="29">
        <v>453000</v>
      </c>
      <c r="H230" s="45">
        <v>0.8</v>
      </c>
      <c r="I230" s="31">
        <v>1.1479999999999999</v>
      </c>
      <c r="J230" s="223">
        <f t="shared" si="25"/>
        <v>3744000</v>
      </c>
      <c r="K230" s="32">
        <f t="shared" si="26"/>
        <v>3744000</v>
      </c>
      <c r="L230" s="261">
        <f t="shared" si="22"/>
        <v>0</v>
      </c>
      <c r="M230" s="14"/>
    </row>
    <row r="231" spans="1:13" ht="40.5" customHeight="1" x14ac:dyDescent="0.3">
      <c r="A231" s="69"/>
      <c r="B231" s="8"/>
      <c r="C231" s="82" t="s">
        <v>323</v>
      </c>
      <c r="D231" s="272" t="s">
        <v>33</v>
      </c>
      <c r="E231" s="71" t="s">
        <v>23</v>
      </c>
      <c r="F231" s="98">
        <f>5.5*2.5</f>
        <v>13.75</v>
      </c>
      <c r="G231" s="29">
        <v>453000</v>
      </c>
      <c r="H231" s="45">
        <v>0.8</v>
      </c>
      <c r="I231" s="31">
        <v>1.1479999999999999</v>
      </c>
      <c r="J231" s="223">
        <f t="shared" si="25"/>
        <v>5720000</v>
      </c>
      <c r="K231" s="32">
        <f t="shared" si="26"/>
        <v>5720000</v>
      </c>
      <c r="L231" s="261">
        <f t="shared" si="22"/>
        <v>0</v>
      </c>
      <c r="M231" s="14"/>
    </row>
    <row r="232" spans="1:13" ht="61.5" customHeight="1" x14ac:dyDescent="0.3">
      <c r="A232" s="149">
        <v>5</v>
      </c>
      <c r="B232" s="150" t="s">
        <v>324</v>
      </c>
      <c r="C232" s="455" t="s">
        <v>1077</v>
      </c>
      <c r="D232" s="456"/>
      <c r="E232" s="456"/>
      <c r="F232" s="456"/>
      <c r="G232" s="456"/>
      <c r="H232" s="456"/>
      <c r="I232" s="457"/>
      <c r="J232" s="221">
        <f>SUM(J233:J247)</f>
        <v>39695000</v>
      </c>
      <c r="K232" s="32">
        <f t="shared" si="26"/>
        <v>0</v>
      </c>
      <c r="L232" s="261">
        <f t="shared" si="22"/>
        <v>39695000</v>
      </c>
      <c r="M232" s="24"/>
    </row>
    <row r="233" spans="1:13" ht="90" customHeight="1" x14ac:dyDescent="0.3">
      <c r="A233" s="67"/>
      <c r="B233" s="68"/>
      <c r="C233" s="25" t="s">
        <v>1062</v>
      </c>
      <c r="D233" s="267" t="s">
        <v>112</v>
      </c>
      <c r="E233" s="27" t="s">
        <v>23</v>
      </c>
      <c r="F233" s="35">
        <v>38.6</v>
      </c>
      <c r="G233" s="464" t="s">
        <v>1064</v>
      </c>
      <c r="H233" s="464"/>
      <c r="I233" s="465"/>
      <c r="J233" s="227"/>
      <c r="K233" s="32"/>
      <c r="L233" s="261">
        <f t="shared" si="22"/>
        <v>0</v>
      </c>
      <c r="M233" s="14"/>
    </row>
    <row r="234" spans="1:13" ht="38.25" x14ac:dyDescent="0.3">
      <c r="A234" s="67"/>
      <c r="B234" s="68"/>
      <c r="C234" s="20" t="s">
        <v>325</v>
      </c>
      <c r="D234" s="269" t="s">
        <v>88</v>
      </c>
      <c r="E234" s="8" t="s">
        <v>25</v>
      </c>
      <c r="F234" s="28">
        <f>0.5*0.5*2.3</f>
        <v>0.57499999999999996</v>
      </c>
      <c r="G234" s="11">
        <v>2828000</v>
      </c>
      <c r="H234" s="45">
        <v>0.8</v>
      </c>
      <c r="I234" s="31">
        <v>1.1479999999999999</v>
      </c>
      <c r="J234" s="223">
        <f t="shared" ref="J234:J247" si="27">ROUND(F234*G234*H234*I234,-3)</f>
        <v>1493000</v>
      </c>
      <c r="K234" s="32">
        <f t="shared" ref="K234:K248" si="28">ROUND(G234*H234*I234*F234,-3)</f>
        <v>1493000</v>
      </c>
      <c r="L234" s="261">
        <f t="shared" si="22"/>
        <v>0</v>
      </c>
      <c r="M234" s="14"/>
    </row>
    <row r="235" spans="1:13" ht="38.25" x14ac:dyDescent="0.3">
      <c r="A235" s="69"/>
      <c r="B235" s="8"/>
      <c r="C235" s="82" t="s">
        <v>326</v>
      </c>
      <c r="D235" s="267" t="s">
        <v>207</v>
      </c>
      <c r="E235" s="71" t="s">
        <v>23</v>
      </c>
      <c r="F235" s="72">
        <f>2.2*2.3</f>
        <v>5.0599999999999996</v>
      </c>
      <c r="G235" s="29">
        <v>566000</v>
      </c>
      <c r="H235" s="45">
        <v>0.8</v>
      </c>
      <c r="I235" s="31">
        <v>1.1479999999999999</v>
      </c>
      <c r="J235" s="223">
        <f t="shared" si="27"/>
        <v>2630000</v>
      </c>
      <c r="K235" s="32">
        <f t="shared" si="28"/>
        <v>2630000</v>
      </c>
      <c r="L235" s="261">
        <f t="shared" si="22"/>
        <v>0</v>
      </c>
      <c r="M235" s="14"/>
    </row>
    <row r="236" spans="1:13" ht="37.5" x14ac:dyDescent="0.3">
      <c r="A236" s="69"/>
      <c r="B236" s="8"/>
      <c r="C236" s="82" t="s">
        <v>327</v>
      </c>
      <c r="D236" s="270" t="s">
        <v>29</v>
      </c>
      <c r="E236" s="27" t="s">
        <v>23</v>
      </c>
      <c r="F236" s="72">
        <f>0.8*2.2+1.9*0.3+4.6*1.2+4.6*0.4</f>
        <v>9.69</v>
      </c>
      <c r="G236" s="29">
        <v>792000</v>
      </c>
      <c r="H236" s="45">
        <v>0.8</v>
      </c>
      <c r="I236" s="31">
        <v>1.1479999999999999</v>
      </c>
      <c r="J236" s="223">
        <f t="shared" si="27"/>
        <v>7048000</v>
      </c>
      <c r="K236" s="32">
        <f t="shared" si="28"/>
        <v>7048000</v>
      </c>
      <c r="L236" s="261">
        <f t="shared" si="22"/>
        <v>0</v>
      </c>
      <c r="M236" s="14"/>
    </row>
    <row r="237" spans="1:13" ht="38.25" x14ac:dyDescent="0.3">
      <c r="A237" s="69"/>
      <c r="B237" s="8"/>
      <c r="C237" s="82" t="s">
        <v>328</v>
      </c>
      <c r="D237" s="267" t="s">
        <v>89</v>
      </c>
      <c r="E237" s="71" t="s">
        <v>23</v>
      </c>
      <c r="F237" s="72">
        <f>7.4*1</f>
        <v>7.4</v>
      </c>
      <c r="G237" s="29">
        <v>11000</v>
      </c>
      <c r="H237" s="45">
        <v>0.8</v>
      </c>
      <c r="I237" s="31">
        <v>1.1479999999999999</v>
      </c>
      <c r="J237" s="223">
        <f t="shared" si="27"/>
        <v>75000</v>
      </c>
      <c r="K237" s="32">
        <f t="shared" si="28"/>
        <v>75000</v>
      </c>
      <c r="L237" s="261">
        <f t="shared" si="22"/>
        <v>0</v>
      </c>
      <c r="M237" s="14"/>
    </row>
    <row r="238" spans="1:13" ht="38.25" x14ac:dyDescent="0.3">
      <c r="A238" s="69"/>
      <c r="B238" s="8"/>
      <c r="C238" s="82" t="s">
        <v>329</v>
      </c>
      <c r="D238" s="267" t="s">
        <v>24</v>
      </c>
      <c r="E238" s="27" t="s">
        <v>25</v>
      </c>
      <c r="F238" s="72">
        <f>(0.2*0.2*1.7)*3</f>
        <v>0.20400000000000001</v>
      </c>
      <c r="G238" s="29">
        <v>2828000</v>
      </c>
      <c r="H238" s="45">
        <v>0.8</v>
      </c>
      <c r="I238" s="31">
        <v>1.1479999999999999</v>
      </c>
      <c r="J238" s="223">
        <f t="shared" si="27"/>
        <v>530000</v>
      </c>
      <c r="K238" s="32">
        <f t="shared" si="28"/>
        <v>530000</v>
      </c>
      <c r="L238" s="261">
        <f t="shared" si="22"/>
        <v>0</v>
      </c>
      <c r="M238" s="158"/>
    </row>
    <row r="239" spans="1:13" ht="38.25" x14ac:dyDescent="0.3">
      <c r="A239" s="69"/>
      <c r="B239" s="8"/>
      <c r="C239" s="82" t="s">
        <v>330</v>
      </c>
      <c r="D239" s="271" t="s">
        <v>32</v>
      </c>
      <c r="E239" s="27" t="s">
        <v>23</v>
      </c>
      <c r="F239" s="72">
        <f>5.3*6.6</f>
        <v>34.979999999999997</v>
      </c>
      <c r="G239" s="29">
        <v>215000</v>
      </c>
      <c r="H239" s="45">
        <v>0.8</v>
      </c>
      <c r="I239" s="31">
        <v>1.1479999999999999</v>
      </c>
      <c r="J239" s="223">
        <f t="shared" si="27"/>
        <v>6907000</v>
      </c>
      <c r="K239" s="32">
        <f t="shared" si="28"/>
        <v>6907000</v>
      </c>
      <c r="L239" s="261">
        <f t="shared" si="22"/>
        <v>0</v>
      </c>
      <c r="M239" s="14"/>
    </row>
    <row r="240" spans="1:13" ht="38.25" x14ac:dyDescent="0.3">
      <c r="A240" s="69"/>
      <c r="B240" s="8"/>
      <c r="C240" s="82" t="s">
        <v>331</v>
      </c>
      <c r="D240" s="271" t="s">
        <v>32</v>
      </c>
      <c r="E240" s="27" t="s">
        <v>23</v>
      </c>
      <c r="F240" s="72">
        <f>7*6.8</f>
        <v>47.6</v>
      </c>
      <c r="G240" s="29">
        <v>215000</v>
      </c>
      <c r="H240" s="45">
        <v>0.8</v>
      </c>
      <c r="I240" s="31">
        <v>1.1479999999999999</v>
      </c>
      <c r="J240" s="223">
        <f t="shared" si="27"/>
        <v>9399000</v>
      </c>
      <c r="K240" s="32">
        <f t="shared" si="28"/>
        <v>9399000</v>
      </c>
      <c r="L240" s="261">
        <f t="shared" si="22"/>
        <v>0</v>
      </c>
      <c r="M240" s="14"/>
    </row>
    <row r="241" spans="1:13" ht="37.5" x14ac:dyDescent="0.3">
      <c r="A241" s="69"/>
      <c r="B241" s="8"/>
      <c r="C241" s="82" t="s">
        <v>858</v>
      </c>
      <c r="D241" s="270" t="s">
        <v>51</v>
      </c>
      <c r="E241" s="27" t="s">
        <v>23</v>
      </c>
      <c r="F241" s="72">
        <f>3.7*6.6</f>
        <v>24.419999999999998</v>
      </c>
      <c r="G241" s="29">
        <v>453000</v>
      </c>
      <c r="H241" s="45">
        <v>0.8</v>
      </c>
      <c r="I241" s="31">
        <v>1.1479999999999999</v>
      </c>
      <c r="J241" s="223">
        <f t="shared" si="27"/>
        <v>10160000</v>
      </c>
      <c r="K241" s="32">
        <f t="shared" si="28"/>
        <v>10160000</v>
      </c>
      <c r="L241" s="261">
        <f t="shared" si="22"/>
        <v>0</v>
      </c>
      <c r="M241" s="14"/>
    </row>
    <row r="242" spans="1:13" ht="43.5" customHeight="1" x14ac:dyDescent="0.3">
      <c r="A242" s="69"/>
      <c r="B242" s="8"/>
      <c r="C242" s="82" t="s">
        <v>332</v>
      </c>
      <c r="D242" s="270" t="s">
        <v>52</v>
      </c>
      <c r="E242" s="96" t="s">
        <v>91</v>
      </c>
      <c r="F242" s="72">
        <f>0.4*6.6</f>
        <v>2.64</v>
      </c>
      <c r="G242" s="11" t="s">
        <v>53</v>
      </c>
      <c r="H242" s="45">
        <v>0.8</v>
      </c>
      <c r="I242" s="31">
        <v>1.1479999999999999</v>
      </c>
      <c r="J242" s="223">
        <f t="shared" si="27"/>
        <v>572000</v>
      </c>
      <c r="K242" s="32">
        <f t="shared" si="28"/>
        <v>572000</v>
      </c>
      <c r="L242" s="261">
        <f t="shared" si="22"/>
        <v>0</v>
      </c>
      <c r="M242" s="14"/>
    </row>
    <row r="243" spans="1:13" ht="43.5" customHeight="1" x14ac:dyDescent="0.3">
      <c r="A243" s="69"/>
      <c r="B243" s="8"/>
      <c r="C243" s="82" t="s">
        <v>333</v>
      </c>
      <c r="D243" s="276" t="s">
        <v>41</v>
      </c>
      <c r="E243" s="59" t="s">
        <v>42</v>
      </c>
      <c r="F243" s="98">
        <v>6</v>
      </c>
      <c r="G243" s="11">
        <v>31950</v>
      </c>
      <c r="H243" s="60">
        <v>1</v>
      </c>
      <c r="I243" s="61">
        <v>1</v>
      </c>
      <c r="J243" s="223">
        <f t="shared" si="27"/>
        <v>192000</v>
      </c>
      <c r="K243" s="32">
        <f t="shared" si="28"/>
        <v>192000</v>
      </c>
      <c r="L243" s="261">
        <f t="shared" si="22"/>
        <v>0</v>
      </c>
      <c r="M243" s="14"/>
    </row>
    <row r="244" spans="1:13" ht="43.5" customHeight="1" x14ac:dyDescent="0.3">
      <c r="A244" s="69"/>
      <c r="B244" s="8"/>
      <c r="C244" s="82" t="s">
        <v>334</v>
      </c>
      <c r="D244" s="276" t="s">
        <v>41</v>
      </c>
      <c r="E244" s="59" t="s">
        <v>42</v>
      </c>
      <c r="F244" s="98">
        <v>35</v>
      </c>
      <c r="G244" s="11">
        <v>10650</v>
      </c>
      <c r="H244" s="60">
        <v>1</v>
      </c>
      <c r="I244" s="61">
        <v>1</v>
      </c>
      <c r="J244" s="223">
        <f t="shared" si="27"/>
        <v>373000</v>
      </c>
      <c r="K244" s="32">
        <f t="shared" si="28"/>
        <v>373000</v>
      </c>
      <c r="L244" s="261">
        <f t="shared" si="22"/>
        <v>0</v>
      </c>
      <c r="M244" s="14"/>
    </row>
    <row r="245" spans="1:13" ht="25.5" x14ac:dyDescent="0.3">
      <c r="A245" s="69"/>
      <c r="B245" s="8"/>
      <c r="C245" s="82" t="s">
        <v>335</v>
      </c>
      <c r="D245" s="271" t="s">
        <v>870</v>
      </c>
      <c r="E245" s="27" t="s">
        <v>23</v>
      </c>
      <c r="F245" s="98">
        <f>1*2</f>
        <v>2</v>
      </c>
      <c r="G245" s="29">
        <v>4220</v>
      </c>
      <c r="H245" s="50">
        <v>1</v>
      </c>
      <c r="I245" s="51">
        <v>1</v>
      </c>
      <c r="J245" s="229">
        <f t="shared" si="27"/>
        <v>8000</v>
      </c>
      <c r="K245" s="32">
        <f t="shared" si="28"/>
        <v>8000</v>
      </c>
      <c r="L245" s="261">
        <f t="shared" si="22"/>
        <v>0</v>
      </c>
      <c r="M245" s="14"/>
    </row>
    <row r="246" spans="1:13" ht="38.25" x14ac:dyDescent="0.3">
      <c r="A246" s="69"/>
      <c r="B246" s="8"/>
      <c r="C246" s="82" t="s">
        <v>46</v>
      </c>
      <c r="D246" s="271" t="s">
        <v>47</v>
      </c>
      <c r="E246" s="63" t="s">
        <v>45</v>
      </c>
      <c r="F246" s="77">
        <v>6</v>
      </c>
      <c r="G246" s="46">
        <v>28000</v>
      </c>
      <c r="H246" s="45">
        <v>0.8</v>
      </c>
      <c r="I246" s="31">
        <v>1.1479999999999999</v>
      </c>
      <c r="J246" s="223">
        <f t="shared" si="27"/>
        <v>154000</v>
      </c>
      <c r="K246" s="32">
        <f t="shared" si="28"/>
        <v>154000</v>
      </c>
      <c r="L246" s="261">
        <f t="shared" si="22"/>
        <v>0</v>
      </c>
      <c r="M246" s="14"/>
    </row>
    <row r="247" spans="1:13" ht="38.25" x14ac:dyDescent="0.3">
      <c r="A247" s="69"/>
      <c r="B247" s="8"/>
      <c r="C247" s="82" t="s">
        <v>336</v>
      </c>
      <c r="D247" s="273" t="s">
        <v>44</v>
      </c>
      <c r="E247" s="63" t="s">
        <v>45</v>
      </c>
      <c r="F247" s="77">
        <v>6</v>
      </c>
      <c r="G247" s="46">
        <v>28000</v>
      </c>
      <c r="H247" s="45">
        <v>0.8</v>
      </c>
      <c r="I247" s="31">
        <v>1.1479999999999999</v>
      </c>
      <c r="J247" s="223">
        <f t="shared" si="27"/>
        <v>154000</v>
      </c>
      <c r="K247" s="32">
        <f t="shared" si="28"/>
        <v>154000</v>
      </c>
      <c r="L247" s="261">
        <f t="shared" si="22"/>
        <v>0</v>
      </c>
      <c r="M247" s="14"/>
    </row>
    <row r="248" spans="1:13" ht="61.5" customHeight="1" x14ac:dyDescent="0.3">
      <c r="A248" s="149">
        <v>6</v>
      </c>
      <c r="B248" s="150" t="s">
        <v>337</v>
      </c>
      <c r="C248" s="455" t="s">
        <v>1076</v>
      </c>
      <c r="D248" s="456"/>
      <c r="E248" s="456"/>
      <c r="F248" s="456"/>
      <c r="G248" s="456"/>
      <c r="H248" s="456"/>
      <c r="I248" s="457"/>
      <c r="J248" s="221">
        <f>SUM(J249:J256)</f>
        <v>45025000</v>
      </c>
      <c r="K248" s="32">
        <f t="shared" si="28"/>
        <v>0</v>
      </c>
      <c r="L248" s="261">
        <f t="shared" si="22"/>
        <v>45025000</v>
      </c>
      <c r="M248" s="24"/>
    </row>
    <row r="249" spans="1:13" ht="90" customHeight="1" x14ac:dyDescent="0.3">
      <c r="A249" s="67"/>
      <c r="B249" s="68"/>
      <c r="C249" s="25" t="s">
        <v>1062</v>
      </c>
      <c r="D249" s="267" t="s">
        <v>112</v>
      </c>
      <c r="E249" s="27" t="s">
        <v>23</v>
      </c>
      <c r="F249" s="35">
        <v>22.9</v>
      </c>
      <c r="G249" s="464" t="s">
        <v>1064</v>
      </c>
      <c r="H249" s="464"/>
      <c r="I249" s="465"/>
      <c r="J249" s="227"/>
      <c r="K249" s="32"/>
      <c r="L249" s="261">
        <f t="shared" si="22"/>
        <v>0</v>
      </c>
      <c r="M249" s="14"/>
    </row>
    <row r="250" spans="1:13" ht="37.5" x14ac:dyDescent="0.3">
      <c r="A250" s="69"/>
      <c r="B250" s="8"/>
      <c r="C250" s="82" t="s">
        <v>859</v>
      </c>
      <c r="D250" s="270" t="s">
        <v>51</v>
      </c>
      <c r="E250" s="27" t="s">
        <v>23</v>
      </c>
      <c r="F250" s="72">
        <f>8.1*4</f>
        <v>32.4</v>
      </c>
      <c r="G250" s="29">
        <v>453000</v>
      </c>
      <c r="H250" s="45">
        <v>0.8</v>
      </c>
      <c r="I250" s="31">
        <v>1.1479999999999999</v>
      </c>
      <c r="J250" s="223">
        <f t="shared" ref="J250:J256" si="29">ROUND(F250*G250*H250*I250,-3)</f>
        <v>13480000</v>
      </c>
      <c r="K250" s="32">
        <f t="shared" ref="K250:K257" si="30">ROUND(G250*H250*I250*F250,-3)</f>
        <v>13480000</v>
      </c>
      <c r="L250" s="261">
        <f t="shared" si="22"/>
        <v>0</v>
      </c>
      <c r="M250" s="14"/>
    </row>
    <row r="251" spans="1:13" ht="38.25" x14ac:dyDescent="0.3">
      <c r="A251" s="69"/>
      <c r="B251" s="8"/>
      <c r="C251" s="82" t="s">
        <v>338</v>
      </c>
      <c r="D251" s="271" t="s">
        <v>32</v>
      </c>
      <c r="E251" s="27" t="s">
        <v>23</v>
      </c>
      <c r="F251" s="72">
        <f>5.4*4</f>
        <v>21.6</v>
      </c>
      <c r="G251" s="29">
        <v>215000</v>
      </c>
      <c r="H251" s="45">
        <v>0.8</v>
      </c>
      <c r="I251" s="31">
        <v>1.1479999999999999</v>
      </c>
      <c r="J251" s="223">
        <f t="shared" si="29"/>
        <v>4265000</v>
      </c>
      <c r="K251" s="32">
        <f t="shared" si="30"/>
        <v>4265000</v>
      </c>
      <c r="L251" s="261">
        <f t="shared" si="22"/>
        <v>0</v>
      </c>
      <c r="M251" s="14"/>
    </row>
    <row r="252" spans="1:13" ht="40.5" customHeight="1" x14ac:dyDescent="0.3">
      <c r="A252" s="69"/>
      <c r="B252" s="8"/>
      <c r="C252" s="82" t="s">
        <v>339</v>
      </c>
      <c r="D252" s="270" t="s">
        <v>52</v>
      </c>
      <c r="E252" s="27" t="s">
        <v>23</v>
      </c>
      <c r="F252" s="72">
        <f>8.1*5.3+8.1*1.5+1.4*4</f>
        <v>60.68</v>
      </c>
      <c r="G252" s="11" t="s">
        <v>53</v>
      </c>
      <c r="H252" s="45">
        <v>0.8</v>
      </c>
      <c r="I252" s="79">
        <v>1.1479999999999999</v>
      </c>
      <c r="J252" s="223">
        <f t="shared" si="29"/>
        <v>13152000</v>
      </c>
      <c r="K252" s="32">
        <f t="shared" si="30"/>
        <v>13152000</v>
      </c>
      <c r="L252" s="261">
        <f t="shared" si="22"/>
        <v>0</v>
      </c>
      <c r="M252" s="14"/>
    </row>
    <row r="253" spans="1:13" ht="38.25" x14ac:dyDescent="0.3">
      <c r="A253" s="69"/>
      <c r="B253" s="8"/>
      <c r="C253" s="82" t="s">
        <v>340</v>
      </c>
      <c r="D253" s="271" t="s">
        <v>32</v>
      </c>
      <c r="E253" s="27" t="s">
        <v>23</v>
      </c>
      <c r="F253" s="72">
        <f>4*7</f>
        <v>28</v>
      </c>
      <c r="G253" s="29">
        <v>215000</v>
      </c>
      <c r="H253" s="45">
        <v>0.8</v>
      </c>
      <c r="I253" s="31">
        <v>1.1479999999999999</v>
      </c>
      <c r="J253" s="223">
        <f t="shared" si="29"/>
        <v>5529000</v>
      </c>
      <c r="K253" s="32">
        <f t="shared" si="30"/>
        <v>5529000</v>
      </c>
      <c r="L253" s="261">
        <f t="shared" si="22"/>
        <v>0</v>
      </c>
      <c r="M253" s="14"/>
    </row>
    <row r="254" spans="1:13" ht="38.25" x14ac:dyDescent="0.3">
      <c r="A254" s="69"/>
      <c r="B254" s="8"/>
      <c r="C254" s="82" t="s">
        <v>341</v>
      </c>
      <c r="D254" s="267" t="s">
        <v>207</v>
      </c>
      <c r="E254" s="71" t="s">
        <v>23</v>
      </c>
      <c r="F254" s="72">
        <f>4*4</f>
        <v>16</v>
      </c>
      <c r="G254" s="29">
        <v>566000</v>
      </c>
      <c r="H254" s="45">
        <v>0.8</v>
      </c>
      <c r="I254" s="31">
        <v>1.1479999999999999</v>
      </c>
      <c r="J254" s="223">
        <f t="shared" si="29"/>
        <v>8317000</v>
      </c>
      <c r="K254" s="32">
        <f t="shared" si="30"/>
        <v>8317000</v>
      </c>
      <c r="L254" s="261">
        <f t="shared" si="22"/>
        <v>0</v>
      </c>
      <c r="M254" s="14"/>
    </row>
    <row r="255" spans="1:13" ht="38.25" x14ac:dyDescent="0.3">
      <c r="A255" s="69"/>
      <c r="B255" s="8"/>
      <c r="C255" s="82" t="s">
        <v>342</v>
      </c>
      <c r="D255" s="273" t="s">
        <v>44</v>
      </c>
      <c r="E255" s="63" t="s">
        <v>45</v>
      </c>
      <c r="F255" s="77">
        <v>5.5</v>
      </c>
      <c r="G255" s="46">
        <v>28000</v>
      </c>
      <c r="H255" s="45">
        <v>0.8</v>
      </c>
      <c r="I255" s="31">
        <v>1.1479999999999999</v>
      </c>
      <c r="J255" s="223">
        <f t="shared" si="29"/>
        <v>141000</v>
      </c>
      <c r="K255" s="32">
        <f t="shared" si="30"/>
        <v>141000</v>
      </c>
      <c r="L255" s="261">
        <f t="shared" si="22"/>
        <v>0</v>
      </c>
      <c r="M255" s="14"/>
    </row>
    <row r="256" spans="1:13" ht="38.25" x14ac:dyDescent="0.3">
      <c r="A256" s="69"/>
      <c r="B256" s="8"/>
      <c r="C256" s="82" t="s">
        <v>188</v>
      </c>
      <c r="D256" s="271" t="s">
        <v>47</v>
      </c>
      <c r="E256" s="63" t="s">
        <v>45</v>
      </c>
      <c r="F256" s="77">
        <v>5.5</v>
      </c>
      <c r="G256" s="46">
        <v>28000</v>
      </c>
      <c r="H256" s="45">
        <v>0.8</v>
      </c>
      <c r="I256" s="31">
        <v>1.1479999999999999</v>
      </c>
      <c r="J256" s="223">
        <f t="shared" si="29"/>
        <v>141000</v>
      </c>
      <c r="K256" s="32">
        <f t="shared" si="30"/>
        <v>141000</v>
      </c>
      <c r="L256" s="261">
        <f t="shared" si="22"/>
        <v>0</v>
      </c>
      <c r="M256" s="14"/>
    </row>
    <row r="257" spans="1:13" ht="61.5" customHeight="1" x14ac:dyDescent="0.3">
      <c r="A257" s="149">
        <v>7</v>
      </c>
      <c r="B257" s="150" t="s">
        <v>343</v>
      </c>
      <c r="C257" s="455" t="s">
        <v>1078</v>
      </c>
      <c r="D257" s="456"/>
      <c r="E257" s="456"/>
      <c r="F257" s="456"/>
      <c r="G257" s="456"/>
      <c r="H257" s="456"/>
      <c r="I257" s="457"/>
      <c r="J257" s="221">
        <f>SUM(J258:J272)</f>
        <v>56896000</v>
      </c>
      <c r="K257" s="32">
        <f t="shared" si="30"/>
        <v>0</v>
      </c>
      <c r="L257" s="261">
        <f t="shared" si="22"/>
        <v>56896000</v>
      </c>
      <c r="M257" s="24"/>
    </row>
    <row r="258" spans="1:13" ht="90" customHeight="1" x14ac:dyDescent="0.3">
      <c r="A258" s="67"/>
      <c r="B258" s="68"/>
      <c r="C258" s="25" t="s">
        <v>1062</v>
      </c>
      <c r="D258" s="267" t="s">
        <v>112</v>
      </c>
      <c r="E258" s="27" t="s">
        <v>23</v>
      </c>
      <c r="F258" s="35">
        <v>22.4</v>
      </c>
      <c r="G258" s="464" t="s">
        <v>1064</v>
      </c>
      <c r="H258" s="464"/>
      <c r="I258" s="465"/>
      <c r="J258" s="227"/>
      <c r="K258" s="32"/>
      <c r="L258" s="261">
        <f t="shared" si="22"/>
        <v>0</v>
      </c>
      <c r="M258" s="14"/>
    </row>
    <row r="259" spans="1:13" ht="38.25" x14ac:dyDescent="0.3">
      <c r="A259" s="69"/>
      <c r="B259" s="8"/>
      <c r="C259" s="82" t="s">
        <v>344</v>
      </c>
      <c r="D259" s="267" t="s">
        <v>24</v>
      </c>
      <c r="E259" s="27" t="s">
        <v>25</v>
      </c>
      <c r="F259" s="72">
        <f>(0.5*0.5*2.7)*2</f>
        <v>1.35</v>
      </c>
      <c r="G259" s="29">
        <v>2828000</v>
      </c>
      <c r="H259" s="45">
        <v>0.8</v>
      </c>
      <c r="I259" s="31">
        <v>1.1479999999999999</v>
      </c>
      <c r="J259" s="223">
        <f t="shared" ref="J259:J272" si="31">ROUND(F259*G259*H259*I259,-3)</f>
        <v>3506000</v>
      </c>
      <c r="K259" s="32">
        <f t="shared" ref="K259:K273" si="32">ROUND(G259*H259*I259*F259,-3)</f>
        <v>3506000</v>
      </c>
      <c r="L259" s="261">
        <f t="shared" si="22"/>
        <v>0</v>
      </c>
      <c r="M259" s="14"/>
    </row>
    <row r="260" spans="1:13" ht="37.5" x14ac:dyDescent="0.3">
      <c r="A260" s="69"/>
      <c r="B260" s="8"/>
      <c r="C260" s="82" t="s">
        <v>345</v>
      </c>
      <c r="D260" s="270" t="s">
        <v>66</v>
      </c>
      <c r="E260" s="27" t="s">
        <v>23</v>
      </c>
      <c r="F260" s="72">
        <f>(0.5*2.1)*8+(0.85*0.6)*2</f>
        <v>9.42</v>
      </c>
      <c r="G260" s="29">
        <v>339000</v>
      </c>
      <c r="H260" s="45">
        <v>0.8</v>
      </c>
      <c r="I260" s="31">
        <v>1.1479999999999999</v>
      </c>
      <c r="J260" s="223">
        <f t="shared" si="31"/>
        <v>2933000</v>
      </c>
      <c r="K260" s="32">
        <f t="shared" si="32"/>
        <v>2933000</v>
      </c>
      <c r="L260" s="261">
        <f t="shared" si="22"/>
        <v>0</v>
      </c>
      <c r="M260" s="14"/>
    </row>
    <row r="261" spans="1:13" ht="38.25" x14ac:dyDescent="0.3">
      <c r="A261" s="69"/>
      <c r="B261" s="8"/>
      <c r="C261" s="82" t="s">
        <v>162</v>
      </c>
      <c r="D261" s="267" t="s">
        <v>26</v>
      </c>
      <c r="E261" s="71" t="s">
        <v>23</v>
      </c>
      <c r="F261" s="72">
        <f>2.3*2.6</f>
        <v>5.9799999999999995</v>
      </c>
      <c r="G261" s="29">
        <v>679000</v>
      </c>
      <c r="H261" s="45">
        <v>0.8</v>
      </c>
      <c r="I261" s="31">
        <v>1.1479999999999999</v>
      </c>
      <c r="J261" s="223">
        <f t="shared" si="31"/>
        <v>3729000</v>
      </c>
      <c r="K261" s="32">
        <f t="shared" si="32"/>
        <v>3729000</v>
      </c>
      <c r="L261" s="261">
        <f t="shared" si="22"/>
        <v>0</v>
      </c>
      <c r="M261" s="158"/>
    </row>
    <row r="262" spans="1:13" ht="38.25" x14ac:dyDescent="0.3">
      <c r="A262" s="69"/>
      <c r="B262" s="8"/>
      <c r="C262" s="82" t="s">
        <v>346</v>
      </c>
      <c r="D262" s="267" t="s">
        <v>24</v>
      </c>
      <c r="E262" s="27" t="s">
        <v>25</v>
      </c>
      <c r="F262" s="72">
        <f>(0.25*0.25*2.2)*4</f>
        <v>0.55000000000000004</v>
      </c>
      <c r="G262" s="29">
        <v>2828000</v>
      </c>
      <c r="H262" s="45">
        <v>0.8</v>
      </c>
      <c r="I262" s="31">
        <v>1.1479999999999999</v>
      </c>
      <c r="J262" s="223">
        <f t="shared" si="31"/>
        <v>1428000</v>
      </c>
      <c r="K262" s="32">
        <f t="shared" si="32"/>
        <v>1428000</v>
      </c>
      <c r="L262" s="261">
        <f t="shared" si="22"/>
        <v>0</v>
      </c>
      <c r="M262" s="14"/>
    </row>
    <row r="263" spans="1:13" ht="38.25" x14ac:dyDescent="0.3">
      <c r="A263" s="69"/>
      <c r="B263" s="8"/>
      <c r="C263" s="82" t="s">
        <v>347</v>
      </c>
      <c r="D263" s="271" t="s">
        <v>32</v>
      </c>
      <c r="E263" s="27" t="s">
        <v>23</v>
      </c>
      <c r="F263" s="72">
        <f>7.1*4</f>
        <v>28.4</v>
      </c>
      <c r="G263" s="29">
        <v>215000</v>
      </c>
      <c r="H263" s="45">
        <v>0.8</v>
      </c>
      <c r="I263" s="31">
        <v>1.1479999999999999</v>
      </c>
      <c r="J263" s="223">
        <f t="shared" si="31"/>
        <v>5608000</v>
      </c>
      <c r="K263" s="32">
        <f t="shared" si="32"/>
        <v>5608000</v>
      </c>
      <c r="L263" s="261">
        <f t="shared" si="22"/>
        <v>0</v>
      </c>
      <c r="M263" s="14"/>
    </row>
    <row r="264" spans="1:13" ht="37.5" x14ac:dyDescent="0.3">
      <c r="A264" s="69"/>
      <c r="B264" s="8"/>
      <c r="C264" s="82" t="s">
        <v>863</v>
      </c>
      <c r="D264" s="270" t="s">
        <v>31</v>
      </c>
      <c r="E264" s="27" t="s">
        <v>23</v>
      </c>
      <c r="F264" s="75">
        <f>5.7*3.6+1.2*0.4</f>
        <v>21</v>
      </c>
      <c r="G264" s="29">
        <v>339000</v>
      </c>
      <c r="H264" s="45">
        <v>0.8</v>
      </c>
      <c r="I264" s="31">
        <v>1.1479999999999999</v>
      </c>
      <c r="J264" s="223">
        <f t="shared" si="31"/>
        <v>6538000</v>
      </c>
      <c r="K264" s="32">
        <f t="shared" si="32"/>
        <v>6538000</v>
      </c>
      <c r="L264" s="261">
        <f t="shared" si="22"/>
        <v>0</v>
      </c>
      <c r="M264" s="14"/>
    </row>
    <row r="265" spans="1:13" ht="36" customHeight="1" x14ac:dyDescent="0.3">
      <c r="A265" s="69"/>
      <c r="B265" s="8"/>
      <c r="C265" s="82" t="s">
        <v>348</v>
      </c>
      <c r="D265" s="270" t="s">
        <v>30</v>
      </c>
      <c r="E265" s="96" t="s">
        <v>91</v>
      </c>
      <c r="F265" s="72">
        <f>(5*2)*2</f>
        <v>20</v>
      </c>
      <c r="G265" s="11">
        <v>679000</v>
      </c>
      <c r="H265" s="45">
        <v>0.8</v>
      </c>
      <c r="I265" s="79">
        <v>1.1479999999999999</v>
      </c>
      <c r="J265" s="223">
        <f t="shared" si="31"/>
        <v>12472000</v>
      </c>
      <c r="K265" s="32">
        <f t="shared" si="32"/>
        <v>12472000</v>
      </c>
      <c r="L265" s="261">
        <f t="shared" ref="L265:L312" si="33">J265-K265</f>
        <v>0</v>
      </c>
      <c r="M265" s="14"/>
    </row>
    <row r="266" spans="1:13" ht="37.5" x14ac:dyDescent="0.3">
      <c r="A266" s="69"/>
      <c r="B266" s="8"/>
      <c r="C266" s="82" t="s">
        <v>860</v>
      </c>
      <c r="D266" s="270" t="s">
        <v>51</v>
      </c>
      <c r="E266" s="27" t="s">
        <v>23</v>
      </c>
      <c r="F266" s="72">
        <f>1.8*3.2</f>
        <v>5.7600000000000007</v>
      </c>
      <c r="G266" s="29">
        <v>453000</v>
      </c>
      <c r="H266" s="45">
        <v>0.8</v>
      </c>
      <c r="I266" s="31">
        <v>1.1479999999999999</v>
      </c>
      <c r="J266" s="223">
        <f t="shared" si="31"/>
        <v>2396000</v>
      </c>
      <c r="K266" s="32">
        <f t="shared" si="32"/>
        <v>2396000</v>
      </c>
      <c r="L266" s="261">
        <f t="shared" si="33"/>
        <v>0</v>
      </c>
      <c r="M266" s="14"/>
    </row>
    <row r="267" spans="1:13" ht="25.5" x14ac:dyDescent="0.3">
      <c r="A267" s="69"/>
      <c r="B267" s="8"/>
      <c r="C267" s="82" t="s">
        <v>349</v>
      </c>
      <c r="D267" s="279" t="s">
        <v>825</v>
      </c>
      <c r="E267" s="71" t="s">
        <v>35</v>
      </c>
      <c r="F267" s="98">
        <v>3</v>
      </c>
      <c r="G267" s="11">
        <v>2130200</v>
      </c>
      <c r="H267" s="37">
        <v>1</v>
      </c>
      <c r="I267" s="201">
        <v>1</v>
      </c>
      <c r="J267" s="223">
        <f t="shared" si="31"/>
        <v>6391000</v>
      </c>
      <c r="K267" s="32">
        <f t="shared" si="32"/>
        <v>6391000</v>
      </c>
      <c r="L267" s="261">
        <f t="shared" si="33"/>
        <v>0</v>
      </c>
      <c r="M267" s="14"/>
    </row>
    <row r="268" spans="1:13" ht="25.5" x14ac:dyDescent="0.3">
      <c r="A268" s="69"/>
      <c r="B268" s="8"/>
      <c r="C268" s="82" t="s">
        <v>49</v>
      </c>
      <c r="D268" s="267" t="s">
        <v>36</v>
      </c>
      <c r="E268" s="27" t="s">
        <v>35</v>
      </c>
      <c r="F268" s="98">
        <v>2</v>
      </c>
      <c r="G268" s="49">
        <v>213020</v>
      </c>
      <c r="H268" s="52">
        <v>1</v>
      </c>
      <c r="I268" s="53">
        <v>1</v>
      </c>
      <c r="J268" s="223">
        <f t="shared" si="31"/>
        <v>426000</v>
      </c>
      <c r="K268" s="32">
        <f t="shared" si="32"/>
        <v>426000</v>
      </c>
      <c r="L268" s="261">
        <f t="shared" si="33"/>
        <v>0</v>
      </c>
      <c r="M268" s="14"/>
    </row>
    <row r="269" spans="1:13" ht="25.5" x14ac:dyDescent="0.3">
      <c r="A269" s="69"/>
      <c r="B269" s="8"/>
      <c r="C269" s="82" t="s">
        <v>350</v>
      </c>
      <c r="D269" s="276" t="s">
        <v>41</v>
      </c>
      <c r="E269" s="59" t="s">
        <v>42</v>
      </c>
      <c r="F269" s="98">
        <v>21</v>
      </c>
      <c r="G269" s="11">
        <v>10650</v>
      </c>
      <c r="H269" s="60">
        <v>1</v>
      </c>
      <c r="I269" s="61">
        <v>1</v>
      </c>
      <c r="J269" s="223">
        <f t="shared" si="31"/>
        <v>224000</v>
      </c>
      <c r="K269" s="32">
        <f t="shared" si="32"/>
        <v>224000</v>
      </c>
      <c r="L269" s="261">
        <f t="shared" si="33"/>
        <v>0</v>
      </c>
      <c r="M269" s="14"/>
    </row>
    <row r="270" spans="1:13" ht="38.25" x14ac:dyDescent="0.3">
      <c r="A270" s="69"/>
      <c r="B270" s="8"/>
      <c r="C270" s="82" t="s">
        <v>342</v>
      </c>
      <c r="D270" s="273" t="s">
        <v>44</v>
      </c>
      <c r="E270" s="63" t="s">
        <v>45</v>
      </c>
      <c r="F270" s="77">
        <v>5.5</v>
      </c>
      <c r="G270" s="46">
        <v>28000</v>
      </c>
      <c r="H270" s="45">
        <v>0.8</v>
      </c>
      <c r="I270" s="31">
        <v>1.1479999999999999</v>
      </c>
      <c r="J270" s="223">
        <f t="shared" si="31"/>
        <v>141000</v>
      </c>
      <c r="K270" s="32">
        <f t="shared" si="32"/>
        <v>141000</v>
      </c>
      <c r="L270" s="261">
        <f t="shared" si="33"/>
        <v>0</v>
      </c>
      <c r="M270" s="14"/>
    </row>
    <row r="271" spans="1:13" ht="38.25" x14ac:dyDescent="0.3">
      <c r="A271" s="69"/>
      <c r="B271" s="8"/>
      <c r="C271" s="82" t="s">
        <v>188</v>
      </c>
      <c r="D271" s="271" t="s">
        <v>47</v>
      </c>
      <c r="E271" s="63" t="s">
        <v>45</v>
      </c>
      <c r="F271" s="77">
        <v>5.5</v>
      </c>
      <c r="G271" s="46">
        <v>28000</v>
      </c>
      <c r="H271" s="45">
        <v>0.8</v>
      </c>
      <c r="I271" s="31">
        <v>1.1479999999999999</v>
      </c>
      <c r="J271" s="223">
        <f t="shared" si="31"/>
        <v>141000</v>
      </c>
      <c r="K271" s="32">
        <f t="shared" si="32"/>
        <v>141000</v>
      </c>
      <c r="L271" s="261">
        <f t="shared" si="33"/>
        <v>0</v>
      </c>
      <c r="M271" s="14"/>
    </row>
    <row r="272" spans="1:13" ht="38.25" x14ac:dyDescent="0.3">
      <c r="A272" s="69"/>
      <c r="B272" s="8"/>
      <c r="C272" s="82" t="s">
        <v>351</v>
      </c>
      <c r="D272" s="271" t="s">
        <v>34</v>
      </c>
      <c r="E272" s="71" t="s">
        <v>23</v>
      </c>
      <c r="F272" s="72">
        <f>5.7*3.7</f>
        <v>21.090000000000003</v>
      </c>
      <c r="G272" s="46">
        <v>566000</v>
      </c>
      <c r="H272" s="45">
        <v>0.8</v>
      </c>
      <c r="I272" s="31">
        <v>1.1479999999999999</v>
      </c>
      <c r="J272" s="223">
        <f t="shared" si="31"/>
        <v>10963000</v>
      </c>
      <c r="K272" s="32">
        <f t="shared" si="32"/>
        <v>10963000</v>
      </c>
      <c r="L272" s="261">
        <f t="shared" si="33"/>
        <v>0</v>
      </c>
      <c r="M272" s="14"/>
    </row>
    <row r="273" spans="1:13" ht="61.5" customHeight="1" x14ac:dyDescent="0.3">
      <c r="A273" s="149">
        <v>8</v>
      </c>
      <c r="B273" s="150" t="s">
        <v>352</v>
      </c>
      <c r="C273" s="455" t="s">
        <v>1079</v>
      </c>
      <c r="D273" s="456"/>
      <c r="E273" s="456"/>
      <c r="F273" s="456"/>
      <c r="G273" s="456"/>
      <c r="H273" s="456"/>
      <c r="I273" s="457"/>
      <c r="J273" s="221">
        <f>SUM(J274:J278)</f>
        <v>46846000</v>
      </c>
      <c r="K273" s="32">
        <f t="shared" si="32"/>
        <v>0</v>
      </c>
      <c r="L273" s="261">
        <f t="shared" si="33"/>
        <v>46846000</v>
      </c>
      <c r="M273" s="24"/>
    </row>
    <row r="274" spans="1:13" ht="90" customHeight="1" x14ac:dyDescent="0.3">
      <c r="A274" s="67"/>
      <c r="B274" s="68"/>
      <c r="C274" s="25" t="s">
        <v>1062</v>
      </c>
      <c r="D274" s="267" t="s">
        <v>112</v>
      </c>
      <c r="E274" s="27" t="s">
        <v>23</v>
      </c>
      <c r="F274" s="35">
        <v>70.3</v>
      </c>
      <c r="G274" s="464" t="s">
        <v>1064</v>
      </c>
      <c r="H274" s="464"/>
      <c r="I274" s="465"/>
      <c r="J274" s="227"/>
      <c r="K274" s="32"/>
      <c r="L274" s="261">
        <f t="shared" si="33"/>
        <v>0</v>
      </c>
      <c r="M274" s="14"/>
    </row>
    <row r="275" spans="1:13" ht="36.75" customHeight="1" x14ac:dyDescent="0.3">
      <c r="A275" s="69"/>
      <c r="B275" s="8"/>
      <c r="C275" s="82" t="s">
        <v>353</v>
      </c>
      <c r="D275" s="272" t="s">
        <v>33</v>
      </c>
      <c r="E275" s="27" t="s">
        <v>23</v>
      </c>
      <c r="F275" s="89">
        <f>2.2*2+7.5*5</f>
        <v>41.9</v>
      </c>
      <c r="G275" s="29">
        <v>453000</v>
      </c>
      <c r="H275" s="45">
        <v>0.8</v>
      </c>
      <c r="I275" s="31">
        <v>1.1479999999999999</v>
      </c>
      <c r="J275" s="223">
        <f>ROUND(F275*G275*H275*I275,-3)</f>
        <v>17432000</v>
      </c>
      <c r="K275" s="32">
        <f>ROUND(G275*H275*I275*F275,-3)</f>
        <v>17432000</v>
      </c>
      <c r="L275" s="261">
        <f t="shared" si="33"/>
        <v>0</v>
      </c>
      <c r="M275" s="14"/>
    </row>
    <row r="276" spans="1:13" ht="38.25" x14ac:dyDescent="0.3">
      <c r="A276" s="69"/>
      <c r="B276" s="8"/>
      <c r="C276" s="82" t="s">
        <v>354</v>
      </c>
      <c r="D276" s="271" t="s">
        <v>32</v>
      </c>
      <c r="E276" s="27" t="s">
        <v>23</v>
      </c>
      <c r="F276" s="72">
        <f>12*5.2</f>
        <v>62.400000000000006</v>
      </c>
      <c r="G276" s="29">
        <v>215000</v>
      </c>
      <c r="H276" s="45">
        <v>0.8</v>
      </c>
      <c r="I276" s="31">
        <v>1.1479999999999999</v>
      </c>
      <c r="J276" s="223">
        <f>ROUND(F276*G276*H276*I276,-3)</f>
        <v>12321000</v>
      </c>
      <c r="K276" s="32">
        <f>ROUND(G276*H276*I276*F276,-3)</f>
        <v>12321000</v>
      </c>
      <c r="L276" s="261">
        <f t="shared" si="33"/>
        <v>0</v>
      </c>
      <c r="M276" s="14"/>
    </row>
    <row r="277" spans="1:13" ht="38.25" x14ac:dyDescent="0.3">
      <c r="A277" s="69"/>
      <c r="B277" s="8"/>
      <c r="C277" s="82" t="s">
        <v>355</v>
      </c>
      <c r="D277" s="271" t="s">
        <v>32</v>
      </c>
      <c r="E277" s="27" t="s">
        <v>23</v>
      </c>
      <c r="F277" s="72">
        <f>12*7.2</f>
        <v>86.4</v>
      </c>
      <c r="G277" s="29">
        <v>215000</v>
      </c>
      <c r="H277" s="45">
        <v>0.8</v>
      </c>
      <c r="I277" s="31">
        <v>1.1479999999999999</v>
      </c>
      <c r="J277" s="223">
        <f>ROUND(F277*G277*H277*I277,-3)</f>
        <v>17060000</v>
      </c>
      <c r="K277" s="32">
        <f>ROUND(G277*H277*I277*F277,-3)</f>
        <v>17060000</v>
      </c>
      <c r="L277" s="261">
        <f t="shared" si="33"/>
        <v>0</v>
      </c>
      <c r="M277" s="14"/>
    </row>
    <row r="278" spans="1:13" ht="25.5" x14ac:dyDescent="0.3">
      <c r="A278" s="69"/>
      <c r="B278" s="8"/>
      <c r="C278" s="82" t="s">
        <v>356</v>
      </c>
      <c r="D278" s="280" t="s">
        <v>92</v>
      </c>
      <c r="E278" s="27" t="s">
        <v>35</v>
      </c>
      <c r="F278" s="98">
        <v>2</v>
      </c>
      <c r="G278" s="11">
        <v>16590</v>
      </c>
      <c r="H278" s="50">
        <v>1</v>
      </c>
      <c r="I278" s="51">
        <v>1</v>
      </c>
      <c r="J278" s="223">
        <f>ROUND(F278*G278*H278*I278,-3)</f>
        <v>33000</v>
      </c>
      <c r="K278" s="32">
        <f>ROUND(G278*H278*I278*F278,-3)</f>
        <v>33000</v>
      </c>
      <c r="L278" s="261">
        <f t="shared" si="33"/>
        <v>0</v>
      </c>
      <c r="M278" s="14"/>
    </row>
    <row r="279" spans="1:13" ht="61.5" customHeight="1" x14ac:dyDescent="0.3">
      <c r="A279" s="149">
        <v>9</v>
      </c>
      <c r="B279" s="150" t="s">
        <v>357</v>
      </c>
      <c r="C279" s="455" t="s">
        <v>1080</v>
      </c>
      <c r="D279" s="456"/>
      <c r="E279" s="456"/>
      <c r="F279" s="456"/>
      <c r="G279" s="456"/>
      <c r="H279" s="456"/>
      <c r="I279" s="457"/>
      <c r="J279" s="221">
        <f>SUM(J280:J295)</f>
        <v>140315000</v>
      </c>
      <c r="K279" s="32">
        <f>ROUND(G279*H279*I279*F279,-3)</f>
        <v>0</v>
      </c>
      <c r="L279" s="261">
        <f t="shared" si="33"/>
        <v>140315000</v>
      </c>
      <c r="M279" s="24"/>
    </row>
    <row r="280" spans="1:13" ht="90" customHeight="1" x14ac:dyDescent="0.25">
      <c r="A280" s="67"/>
      <c r="B280" s="68"/>
      <c r="C280" s="25" t="s">
        <v>1062</v>
      </c>
      <c r="D280" s="267" t="s">
        <v>112</v>
      </c>
      <c r="E280" s="27" t="s">
        <v>23</v>
      </c>
      <c r="F280" s="35">
        <v>41.1</v>
      </c>
      <c r="G280" s="464" t="s">
        <v>1064</v>
      </c>
      <c r="H280" s="464"/>
      <c r="I280" s="465"/>
      <c r="J280" s="227"/>
      <c r="K280" s="32"/>
      <c r="L280" s="261">
        <f t="shared" si="33"/>
        <v>0</v>
      </c>
      <c r="M280" s="216">
        <v>41.6</v>
      </c>
    </row>
    <row r="281" spans="1:13" ht="38.25" x14ac:dyDescent="0.3">
      <c r="A281" s="69"/>
      <c r="B281" s="8"/>
      <c r="C281" s="82" t="s">
        <v>358</v>
      </c>
      <c r="D281" s="269" t="s">
        <v>88</v>
      </c>
      <c r="E281" s="8" t="s">
        <v>25</v>
      </c>
      <c r="F281" s="72">
        <f>(1.4*0.9*5.1)*2</f>
        <v>12.851999999999999</v>
      </c>
      <c r="G281" s="11">
        <v>2828000</v>
      </c>
      <c r="H281" s="45">
        <v>0.8</v>
      </c>
      <c r="I281" s="31">
        <v>1.1479999999999999</v>
      </c>
      <c r="J281" s="223">
        <f t="shared" ref="J281:J294" si="34">ROUND(F281*G281*H281*I281,-3)</f>
        <v>33380000</v>
      </c>
      <c r="K281" s="32">
        <f t="shared" ref="K281:K296" si="35">ROUND(G281*H281*I281*F281,-3)</f>
        <v>33380000</v>
      </c>
      <c r="L281" s="261">
        <f t="shared" si="33"/>
        <v>0</v>
      </c>
      <c r="M281" s="14"/>
    </row>
    <row r="282" spans="1:13" ht="38.25" x14ac:dyDescent="0.3">
      <c r="A282" s="69"/>
      <c r="B282" s="8"/>
      <c r="C282" s="82" t="s">
        <v>359</v>
      </c>
      <c r="D282" s="271" t="s">
        <v>309</v>
      </c>
      <c r="E282" s="27" t="s">
        <v>23</v>
      </c>
      <c r="F282" s="72">
        <f>7*1.8</f>
        <v>12.6</v>
      </c>
      <c r="G282" s="29">
        <v>1566000</v>
      </c>
      <c r="H282" s="45">
        <v>0.8</v>
      </c>
      <c r="I282" s="159">
        <v>1.1479999999999999</v>
      </c>
      <c r="J282" s="223">
        <f t="shared" si="34"/>
        <v>18122000</v>
      </c>
      <c r="K282" s="32">
        <f t="shared" si="35"/>
        <v>18122000</v>
      </c>
      <c r="L282" s="261">
        <f t="shared" si="33"/>
        <v>0</v>
      </c>
      <c r="M282" s="14"/>
    </row>
    <row r="283" spans="1:13" ht="38.25" x14ac:dyDescent="0.3">
      <c r="A283" s="69"/>
      <c r="B283" s="8"/>
      <c r="C283" s="82" t="s">
        <v>360</v>
      </c>
      <c r="D283" s="267" t="s">
        <v>26</v>
      </c>
      <c r="E283" s="71" t="s">
        <v>23</v>
      </c>
      <c r="F283" s="72">
        <f>5.3*2.8</f>
        <v>14.839999999999998</v>
      </c>
      <c r="G283" s="29">
        <v>679000</v>
      </c>
      <c r="H283" s="45">
        <v>0.8</v>
      </c>
      <c r="I283" s="31">
        <v>1.1479999999999999</v>
      </c>
      <c r="J283" s="223">
        <f t="shared" si="34"/>
        <v>9254000</v>
      </c>
      <c r="K283" s="32">
        <f t="shared" si="35"/>
        <v>9254000</v>
      </c>
      <c r="L283" s="261">
        <f t="shared" si="33"/>
        <v>0</v>
      </c>
      <c r="M283" s="158"/>
    </row>
    <row r="284" spans="1:13" ht="38.25" x14ac:dyDescent="0.3">
      <c r="A284" s="69"/>
      <c r="B284" s="8"/>
      <c r="C284" s="82" t="s">
        <v>361</v>
      </c>
      <c r="D284" s="267" t="s">
        <v>24</v>
      </c>
      <c r="E284" s="27" t="s">
        <v>25</v>
      </c>
      <c r="F284" s="72">
        <f>(0.35*0.35*1.3)*2</f>
        <v>0.31849999999999995</v>
      </c>
      <c r="G284" s="29">
        <v>2828000</v>
      </c>
      <c r="H284" s="45">
        <v>0.8</v>
      </c>
      <c r="I284" s="31">
        <v>1.1479999999999999</v>
      </c>
      <c r="J284" s="223">
        <f t="shared" si="34"/>
        <v>827000</v>
      </c>
      <c r="K284" s="32">
        <f t="shared" si="35"/>
        <v>827000</v>
      </c>
      <c r="L284" s="261">
        <f t="shared" si="33"/>
        <v>0</v>
      </c>
      <c r="M284" s="14"/>
    </row>
    <row r="285" spans="1:13" ht="37.5" x14ac:dyDescent="0.3">
      <c r="A285" s="69"/>
      <c r="B285" s="8"/>
      <c r="C285" s="82" t="s">
        <v>362</v>
      </c>
      <c r="D285" s="270" t="s">
        <v>29</v>
      </c>
      <c r="E285" s="27" t="s">
        <v>23</v>
      </c>
      <c r="F285" s="72">
        <f>(2*0.7)*2+(4.1*2.8)*2</f>
        <v>25.759999999999998</v>
      </c>
      <c r="G285" s="29">
        <v>792000</v>
      </c>
      <c r="H285" s="45">
        <v>0.8</v>
      </c>
      <c r="I285" s="31">
        <v>1.1479999999999999</v>
      </c>
      <c r="J285" s="223">
        <f t="shared" si="34"/>
        <v>18737000</v>
      </c>
      <c r="K285" s="32">
        <f t="shared" si="35"/>
        <v>18737000</v>
      </c>
      <c r="L285" s="261">
        <f t="shared" si="33"/>
        <v>0</v>
      </c>
      <c r="M285" s="14"/>
    </row>
    <row r="286" spans="1:13" ht="37.5" x14ac:dyDescent="0.3">
      <c r="A286" s="69"/>
      <c r="B286" s="8"/>
      <c r="C286" s="82" t="s">
        <v>819</v>
      </c>
      <c r="D286" s="270" t="s">
        <v>51</v>
      </c>
      <c r="E286" s="27" t="s">
        <v>23</v>
      </c>
      <c r="F286" s="72">
        <f>5.3*6.2</f>
        <v>32.86</v>
      </c>
      <c r="G286" s="29">
        <v>453000</v>
      </c>
      <c r="H286" s="45">
        <v>0.8</v>
      </c>
      <c r="I286" s="31">
        <v>1.1479999999999999</v>
      </c>
      <c r="J286" s="223">
        <f t="shared" si="34"/>
        <v>13671000</v>
      </c>
      <c r="K286" s="32">
        <f t="shared" si="35"/>
        <v>13671000</v>
      </c>
      <c r="L286" s="261">
        <f t="shared" si="33"/>
        <v>0</v>
      </c>
      <c r="M286" s="14"/>
    </row>
    <row r="287" spans="1:13" ht="38.25" x14ac:dyDescent="0.3">
      <c r="A287" s="69"/>
      <c r="B287" s="8"/>
      <c r="C287" s="82" t="s">
        <v>363</v>
      </c>
      <c r="D287" s="267" t="s">
        <v>24</v>
      </c>
      <c r="E287" s="8" t="s">
        <v>25</v>
      </c>
      <c r="F287" s="89">
        <f>(2.8*0.5*0.35)*2</f>
        <v>0.97999999999999987</v>
      </c>
      <c r="G287" s="29">
        <v>2828000</v>
      </c>
      <c r="H287" s="45">
        <v>0.8</v>
      </c>
      <c r="I287" s="31">
        <v>1.1479999999999999</v>
      </c>
      <c r="J287" s="223">
        <f t="shared" si="34"/>
        <v>2545000</v>
      </c>
      <c r="K287" s="32">
        <f t="shared" si="35"/>
        <v>2545000</v>
      </c>
      <c r="L287" s="261">
        <f t="shared" si="33"/>
        <v>0</v>
      </c>
      <c r="M287" s="14"/>
    </row>
    <row r="288" spans="1:13" ht="25.5" x14ac:dyDescent="0.3">
      <c r="A288" s="69"/>
      <c r="B288" s="8"/>
      <c r="C288" s="82" t="s">
        <v>364</v>
      </c>
      <c r="D288" s="270" t="s">
        <v>28</v>
      </c>
      <c r="E288" s="27" t="s">
        <v>23</v>
      </c>
      <c r="F288" s="72">
        <f>3.2*2.8</f>
        <v>8.9599999999999991</v>
      </c>
      <c r="G288" s="11">
        <v>396000</v>
      </c>
      <c r="H288" s="45">
        <v>0.8</v>
      </c>
      <c r="I288" s="31">
        <v>1.1479999999999999</v>
      </c>
      <c r="J288" s="223">
        <f t="shared" si="34"/>
        <v>3259000</v>
      </c>
      <c r="K288" s="32">
        <f t="shared" si="35"/>
        <v>3259000</v>
      </c>
      <c r="L288" s="261">
        <f t="shared" si="33"/>
        <v>0</v>
      </c>
      <c r="M288" s="14"/>
    </row>
    <row r="289" spans="1:13" ht="25.5" x14ac:dyDescent="0.3">
      <c r="A289" s="69"/>
      <c r="B289" s="8"/>
      <c r="C289" s="82" t="s">
        <v>365</v>
      </c>
      <c r="D289" s="270" t="s">
        <v>28</v>
      </c>
      <c r="E289" s="71" t="s">
        <v>23</v>
      </c>
      <c r="F289" s="72">
        <f>5.1*4.2</f>
        <v>21.419999999999998</v>
      </c>
      <c r="G289" s="11">
        <v>396000</v>
      </c>
      <c r="H289" s="45">
        <v>0.8</v>
      </c>
      <c r="I289" s="31">
        <v>1.1479999999999999</v>
      </c>
      <c r="J289" s="223">
        <f t="shared" si="34"/>
        <v>7790000</v>
      </c>
      <c r="K289" s="32">
        <f t="shared" si="35"/>
        <v>7790000</v>
      </c>
      <c r="L289" s="261">
        <f t="shared" si="33"/>
        <v>0</v>
      </c>
      <c r="M289" s="14"/>
    </row>
    <row r="290" spans="1:13" ht="25.5" x14ac:dyDescent="0.3">
      <c r="A290" s="69"/>
      <c r="B290" s="8"/>
      <c r="C290" s="82" t="s">
        <v>366</v>
      </c>
      <c r="D290" s="270" t="s">
        <v>31</v>
      </c>
      <c r="E290" s="27" t="s">
        <v>23</v>
      </c>
      <c r="F290" s="75">
        <f>9.2*5.2</f>
        <v>47.839999999999996</v>
      </c>
      <c r="G290" s="29">
        <v>339000</v>
      </c>
      <c r="H290" s="45">
        <v>0.8</v>
      </c>
      <c r="I290" s="31">
        <v>1.1479999999999999</v>
      </c>
      <c r="J290" s="223">
        <f t="shared" si="34"/>
        <v>14894000</v>
      </c>
      <c r="K290" s="32">
        <f t="shared" si="35"/>
        <v>14894000</v>
      </c>
      <c r="L290" s="261">
        <f t="shared" si="33"/>
        <v>0</v>
      </c>
      <c r="M290" s="14"/>
    </row>
    <row r="291" spans="1:13" ht="25.5" x14ac:dyDescent="0.3">
      <c r="A291" s="69"/>
      <c r="B291" s="8"/>
      <c r="C291" s="82" t="s">
        <v>367</v>
      </c>
      <c r="D291" s="192" t="s">
        <v>58</v>
      </c>
      <c r="E291" s="27" t="s">
        <v>35</v>
      </c>
      <c r="F291" s="98">
        <v>2</v>
      </c>
      <c r="G291" s="29">
        <v>1065100</v>
      </c>
      <c r="H291" s="50">
        <v>1</v>
      </c>
      <c r="I291" s="51">
        <v>1</v>
      </c>
      <c r="J291" s="223">
        <f t="shared" si="34"/>
        <v>2130000</v>
      </c>
      <c r="K291" s="32">
        <f t="shared" si="35"/>
        <v>2130000</v>
      </c>
      <c r="L291" s="261">
        <f t="shared" si="33"/>
        <v>0</v>
      </c>
      <c r="M291" s="14"/>
    </row>
    <row r="292" spans="1:13" ht="56.25" x14ac:dyDescent="0.3">
      <c r="A292" s="69"/>
      <c r="B292" s="8"/>
      <c r="C292" s="82" t="s">
        <v>368</v>
      </c>
      <c r="D292" s="270" t="s">
        <v>29</v>
      </c>
      <c r="E292" s="27" t="s">
        <v>23</v>
      </c>
      <c r="F292" s="72">
        <f>(4.9*0.4)*2+(1.5*1.2)*2</f>
        <v>7.52</v>
      </c>
      <c r="G292" s="29">
        <v>792000</v>
      </c>
      <c r="H292" s="45">
        <v>0.8</v>
      </c>
      <c r="I292" s="31">
        <v>1.1479999999999999</v>
      </c>
      <c r="J292" s="223">
        <f t="shared" si="34"/>
        <v>5470000</v>
      </c>
      <c r="K292" s="32">
        <f t="shared" si="35"/>
        <v>5470000</v>
      </c>
      <c r="L292" s="261">
        <f t="shared" si="33"/>
        <v>0</v>
      </c>
      <c r="M292" s="14"/>
    </row>
    <row r="293" spans="1:13" ht="38.25" x14ac:dyDescent="0.3">
      <c r="A293" s="69"/>
      <c r="B293" s="8"/>
      <c r="C293" s="82" t="s">
        <v>369</v>
      </c>
      <c r="D293" s="273" t="s">
        <v>44</v>
      </c>
      <c r="E293" s="63" t="s">
        <v>45</v>
      </c>
      <c r="F293" s="77">
        <v>3</v>
      </c>
      <c r="G293" s="46">
        <v>28000</v>
      </c>
      <c r="H293" s="45">
        <v>0.8</v>
      </c>
      <c r="I293" s="31">
        <v>1.1479999999999999</v>
      </c>
      <c r="J293" s="223">
        <f t="shared" si="34"/>
        <v>77000</v>
      </c>
      <c r="K293" s="32">
        <f t="shared" si="35"/>
        <v>77000</v>
      </c>
      <c r="L293" s="261">
        <f t="shared" si="33"/>
        <v>0</v>
      </c>
      <c r="M293" s="14"/>
    </row>
    <row r="294" spans="1:13" ht="38.25" x14ac:dyDescent="0.3">
      <c r="A294" s="69"/>
      <c r="B294" s="8"/>
      <c r="C294" s="82" t="s">
        <v>370</v>
      </c>
      <c r="D294" s="271" t="s">
        <v>47</v>
      </c>
      <c r="E294" s="63" t="s">
        <v>45</v>
      </c>
      <c r="F294" s="77">
        <v>3</v>
      </c>
      <c r="G294" s="46">
        <v>28000</v>
      </c>
      <c r="H294" s="45">
        <v>0.8</v>
      </c>
      <c r="I294" s="31">
        <v>1.1479999999999999</v>
      </c>
      <c r="J294" s="223">
        <f t="shared" si="34"/>
        <v>77000</v>
      </c>
      <c r="K294" s="32">
        <f t="shared" si="35"/>
        <v>77000</v>
      </c>
      <c r="L294" s="261">
        <f t="shared" si="33"/>
        <v>0</v>
      </c>
      <c r="M294" s="14"/>
    </row>
    <row r="295" spans="1:13" ht="56.25" x14ac:dyDescent="0.3">
      <c r="A295" s="69"/>
      <c r="B295" s="8"/>
      <c r="C295" s="82" t="s">
        <v>371</v>
      </c>
      <c r="D295" s="193" t="s">
        <v>873</v>
      </c>
      <c r="E295" s="191" t="s">
        <v>872</v>
      </c>
      <c r="F295" s="195">
        <f>1.5*1.5</f>
        <v>2.25</v>
      </c>
      <c r="G295" s="46">
        <f>161000+4718000</f>
        <v>4879000</v>
      </c>
      <c r="H295" s="45">
        <v>0.8</v>
      </c>
      <c r="I295" s="31">
        <v>1.1479999999999999</v>
      </c>
      <c r="J295" s="224">
        <f>ROUND(F295*G295*H295*I295,-3)</f>
        <v>10082000</v>
      </c>
      <c r="K295" s="32">
        <f t="shared" si="35"/>
        <v>10082000</v>
      </c>
      <c r="L295" s="261">
        <f t="shared" si="33"/>
        <v>0</v>
      </c>
      <c r="M295" s="14"/>
    </row>
    <row r="296" spans="1:13" ht="61.5" customHeight="1" x14ac:dyDescent="0.3">
      <c r="A296" s="149">
        <v>10</v>
      </c>
      <c r="B296" s="150" t="s">
        <v>372</v>
      </c>
      <c r="C296" s="455" t="s">
        <v>1081</v>
      </c>
      <c r="D296" s="456"/>
      <c r="E296" s="456"/>
      <c r="F296" s="456"/>
      <c r="G296" s="456"/>
      <c r="H296" s="456"/>
      <c r="I296" s="457"/>
      <c r="J296" s="221">
        <f>SUM(J297:J307)</f>
        <v>64926000</v>
      </c>
      <c r="K296" s="32">
        <f t="shared" si="35"/>
        <v>0</v>
      </c>
      <c r="L296" s="261">
        <f t="shared" si="33"/>
        <v>64926000</v>
      </c>
      <c r="M296" s="24"/>
    </row>
    <row r="297" spans="1:13" ht="90" customHeight="1" x14ac:dyDescent="0.3">
      <c r="A297" s="67"/>
      <c r="B297" s="68"/>
      <c r="C297" s="25" t="s">
        <v>1062</v>
      </c>
      <c r="D297" s="267" t="s">
        <v>112</v>
      </c>
      <c r="E297" s="27" t="s">
        <v>23</v>
      </c>
      <c r="F297" s="35">
        <v>25.1</v>
      </c>
      <c r="G297" s="464" t="s">
        <v>1064</v>
      </c>
      <c r="H297" s="464"/>
      <c r="I297" s="465"/>
      <c r="J297" s="227"/>
      <c r="K297" s="32"/>
      <c r="L297" s="261">
        <f t="shared" si="33"/>
        <v>0</v>
      </c>
      <c r="M297" s="14"/>
    </row>
    <row r="298" spans="1:13" ht="37.5" x14ac:dyDescent="0.3">
      <c r="A298" s="69"/>
      <c r="B298" s="8"/>
      <c r="C298" s="82" t="s">
        <v>861</v>
      </c>
      <c r="D298" s="270" t="s">
        <v>51</v>
      </c>
      <c r="E298" s="27" t="s">
        <v>23</v>
      </c>
      <c r="F298" s="72">
        <f>8.4*4.05</f>
        <v>34.020000000000003</v>
      </c>
      <c r="G298" s="29">
        <v>453000</v>
      </c>
      <c r="H298" s="45">
        <v>0.8</v>
      </c>
      <c r="I298" s="31">
        <v>1.1479999999999999</v>
      </c>
      <c r="J298" s="223">
        <f t="shared" ref="J298:J307" si="36">ROUND(F298*G298*H298*I298,-3)</f>
        <v>14154000</v>
      </c>
      <c r="K298" s="32">
        <f t="shared" ref="K298:K307" si="37">ROUND(G298*H298*I298*F298,-3)</f>
        <v>14154000</v>
      </c>
      <c r="L298" s="261">
        <f t="shared" si="33"/>
        <v>0</v>
      </c>
      <c r="M298" s="14"/>
    </row>
    <row r="299" spans="1:13" ht="38.25" x14ac:dyDescent="0.3">
      <c r="A299" s="69"/>
      <c r="B299" s="8"/>
      <c r="C299" s="82" t="s">
        <v>373</v>
      </c>
      <c r="D299" s="271" t="s">
        <v>32</v>
      </c>
      <c r="E299" s="27" t="s">
        <v>23</v>
      </c>
      <c r="F299" s="72">
        <f>5.5*3.6</f>
        <v>19.8</v>
      </c>
      <c r="G299" s="29">
        <v>215000</v>
      </c>
      <c r="H299" s="45">
        <v>0.8</v>
      </c>
      <c r="I299" s="31">
        <v>1.1479999999999999</v>
      </c>
      <c r="J299" s="223">
        <f t="shared" si="36"/>
        <v>3910000</v>
      </c>
      <c r="K299" s="32">
        <f t="shared" si="37"/>
        <v>3910000</v>
      </c>
      <c r="L299" s="261">
        <f t="shared" si="33"/>
        <v>0</v>
      </c>
      <c r="M299" s="14"/>
    </row>
    <row r="300" spans="1:13" ht="38.25" x14ac:dyDescent="0.3">
      <c r="A300" s="69"/>
      <c r="B300" s="8"/>
      <c r="C300" s="82" t="s">
        <v>374</v>
      </c>
      <c r="D300" s="267" t="s">
        <v>161</v>
      </c>
      <c r="E300" s="71" t="s">
        <v>23</v>
      </c>
      <c r="F300" s="72">
        <f>3.6*2.8</f>
        <v>10.08</v>
      </c>
      <c r="G300" s="11">
        <v>396000</v>
      </c>
      <c r="H300" s="45">
        <v>0.8</v>
      </c>
      <c r="I300" s="31">
        <v>1.1479999999999999</v>
      </c>
      <c r="J300" s="223">
        <f t="shared" si="36"/>
        <v>3666000</v>
      </c>
      <c r="K300" s="32">
        <f t="shared" si="37"/>
        <v>3666000</v>
      </c>
      <c r="L300" s="261">
        <f t="shared" si="33"/>
        <v>0</v>
      </c>
      <c r="M300" s="158"/>
    </row>
    <row r="301" spans="1:13" ht="36" customHeight="1" x14ac:dyDescent="0.3">
      <c r="A301" s="69"/>
      <c r="B301" s="8"/>
      <c r="C301" s="82" t="s">
        <v>375</v>
      </c>
      <c r="D301" s="272" t="s">
        <v>33</v>
      </c>
      <c r="E301" s="27" t="s">
        <v>23</v>
      </c>
      <c r="F301" s="89">
        <f>3.6*0.5</f>
        <v>1.8</v>
      </c>
      <c r="G301" s="29">
        <v>453000</v>
      </c>
      <c r="H301" s="45">
        <v>0.8</v>
      </c>
      <c r="I301" s="31">
        <v>1.1479999999999999</v>
      </c>
      <c r="J301" s="223">
        <f t="shared" si="36"/>
        <v>749000</v>
      </c>
      <c r="K301" s="32">
        <f t="shared" si="37"/>
        <v>749000</v>
      </c>
      <c r="L301" s="261">
        <f t="shared" si="33"/>
        <v>0</v>
      </c>
      <c r="M301" s="14"/>
    </row>
    <row r="302" spans="1:13" ht="37.5" x14ac:dyDescent="0.3">
      <c r="A302" s="69"/>
      <c r="B302" s="8"/>
      <c r="C302" s="82" t="s">
        <v>376</v>
      </c>
      <c r="D302" s="270" t="s">
        <v>29</v>
      </c>
      <c r="E302" s="27" t="s">
        <v>23</v>
      </c>
      <c r="F302" s="72">
        <f>8.4*3.7+3.5*1.6+6.8*1.2+1.4*3.7</f>
        <v>50.02</v>
      </c>
      <c r="G302" s="29">
        <v>792000</v>
      </c>
      <c r="H302" s="45">
        <v>0.8</v>
      </c>
      <c r="I302" s="31">
        <v>1.1479999999999999</v>
      </c>
      <c r="J302" s="223">
        <f t="shared" si="36"/>
        <v>36383000</v>
      </c>
      <c r="K302" s="32">
        <f t="shared" si="37"/>
        <v>36383000</v>
      </c>
      <c r="L302" s="261">
        <f t="shared" si="33"/>
        <v>0</v>
      </c>
      <c r="M302" s="14"/>
    </row>
    <row r="303" spans="1:13" ht="38.25" x14ac:dyDescent="0.3">
      <c r="A303" s="69"/>
      <c r="B303" s="8"/>
      <c r="C303" s="82" t="s">
        <v>377</v>
      </c>
      <c r="D303" s="271" t="s">
        <v>32</v>
      </c>
      <c r="E303" s="27" t="s">
        <v>23</v>
      </c>
      <c r="F303" s="72">
        <f>6.7*4.05</f>
        <v>27.134999999999998</v>
      </c>
      <c r="G303" s="29">
        <v>215000</v>
      </c>
      <c r="H303" s="45">
        <v>0.8</v>
      </c>
      <c r="I303" s="31">
        <v>1.1479999999999999</v>
      </c>
      <c r="J303" s="223">
        <f t="shared" si="36"/>
        <v>5358000</v>
      </c>
      <c r="K303" s="32">
        <f t="shared" si="37"/>
        <v>5358000</v>
      </c>
      <c r="L303" s="261">
        <f t="shared" si="33"/>
        <v>0</v>
      </c>
      <c r="M303" s="14"/>
    </row>
    <row r="304" spans="1:13" ht="38.25" x14ac:dyDescent="0.3">
      <c r="A304" s="69"/>
      <c r="B304" s="8"/>
      <c r="C304" s="82" t="s">
        <v>342</v>
      </c>
      <c r="D304" s="273" t="s">
        <v>44</v>
      </c>
      <c r="E304" s="63" t="s">
        <v>45</v>
      </c>
      <c r="F304" s="77">
        <v>5.5</v>
      </c>
      <c r="G304" s="46">
        <v>28000</v>
      </c>
      <c r="H304" s="45">
        <v>0.8</v>
      </c>
      <c r="I304" s="31">
        <v>1.1479999999999999</v>
      </c>
      <c r="J304" s="223">
        <f t="shared" si="36"/>
        <v>141000</v>
      </c>
      <c r="K304" s="32">
        <f t="shared" si="37"/>
        <v>141000</v>
      </c>
      <c r="L304" s="261">
        <f t="shared" si="33"/>
        <v>0</v>
      </c>
      <c r="M304" s="14"/>
    </row>
    <row r="305" spans="1:13" ht="38.25" x14ac:dyDescent="0.3">
      <c r="A305" s="69"/>
      <c r="B305" s="8"/>
      <c r="C305" s="82" t="s">
        <v>188</v>
      </c>
      <c r="D305" s="271" t="s">
        <v>47</v>
      </c>
      <c r="E305" s="63" t="s">
        <v>45</v>
      </c>
      <c r="F305" s="77">
        <v>5.5</v>
      </c>
      <c r="G305" s="46">
        <v>28000</v>
      </c>
      <c r="H305" s="45">
        <v>0.8</v>
      </c>
      <c r="I305" s="31">
        <v>1.1479999999999999</v>
      </c>
      <c r="J305" s="223">
        <f t="shared" si="36"/>
        <v>141000</v>
      </c>
      <c r="K305" s="32">
        <f t="shared" si="37"/>
        <v>141000</v>
      </c>
      <c r="L305" s="261">
        <f t="shared" si="33"/>
        <v>0</v>
      </c>
      <c r="M305" s="14"/>
    </row>
    <row r="306" spans="1:13" ht="37.5" customHeight="1" x14ac:dyDescent="0.3">
      <c r="A306" s="69"/>
      <c r="B306" s="8"/>
      <c r="C306" s="82" t="s">
        <v>378</v>
      </c>
      <c r="D306" s="270" t="s">
        <v>52</v>
      </c>
      <c r="E306" s="96" t="s">
        <v>91</v>
      </c>
      <c r="F306" s="72">
        <f>5.5*0.3</f>
        <v>1.65</v>
      </c>
      <c r="G306" s="11" t="s">
        <v>53</v>
      </c>
      <c r="H306" s="45">
        <v>0.8</v>
      </c>
      <c r="I306" s="31">
        <v>1.1479999999999999</v>
      </c>
      <c r="J306" s="223">
        <f t="shared" si="36"/>
        <v>358000</v>
      </c>
      <c r="K306" s="32">
        <f t="shared" si="37"/>
        <v>358000</v>
      </c>
      <c r="L306" s="261">
        <f t="shared" si="33"/>
        <v>0</v>
      </c>
      <c r="M306" s="14"/>
    </row>
    <row r="307" spans="1:13" ht="37.5" customHeight="1" x14ac:dyDescent="0.3">
      <c r="A307" s="69"/>
      <c r="B307" s="8"/>
      <c r="C307" s="82" t="s">
        <v>379</v>
      </c>
      <c r="D307" s="267" t="s">
        <v>95</v>
      </c>
      <c r="E307" s="71" t="s">
        <v>25</v>
      </c>
      <c r="F307" s="72">
        <f>2.4*0.3*0.1</f>
        <v>7.1999999999999995E-2</v>
      </c>
      <c r="G307" s="11">
        <v>1000000</v>
      </c>
      <c r="H307" s="45">
        <v>0.8</v>
      </c>
      <c r="I307" s="31">
        <v>1.1479999999999999</v>
      </c>
      <c r="J307" s="223">
        <f t="shared" si="36"/>
        <v>66000</v>
      </c>
      <c r="K307" s="32">
        <f t="shared" si="37"/>
        <v>66000</v>
      </c>
      <c r="L307" s="261">
        <f t="shared" si="33"/>
        <v>0</v>
      </c>
      <c r="M307" s="14"/>
    </row>
    <row r="308" spans="1:13" ht="61.5" customHeight="1" x14ac:dyDescent="0.3">
      <c r="A308" s="149">
        <v>11</v>
      </c>
      <c r="B308" s="150" t="s">
        <v>380</v>
      </c>
      <c r="C308" s="455" t="s">
        <v>1082</v>
      </c>
      <c r="D308" s="456"/>
      <c r="E308" s="456"/>
      <c r="F308" s="456"/>
      <c r="G308" s="456"/>
      <c r="H308" s="456"/>
      <c r="I308" s="457"/>
      <c r="J308" s="221">
        <f>SUM(J309:J324)</f>
        <v>863430000</v>
      </c>
      <c r="K308" s="32">
        <f>ROUND(G308*H308*I308*F308,-3)</f>
        <v>0</v>
      </c>
      <c r="L308" s="261">
        <f t="shared" si="33"/>
        <v>863430000</v>
      </c>
      <c r="M308" s="24"/>
    </row>
    <row r="309" spans="1:13" ht="90" customHeight="1" x14ac:dyDescent="0.3">
      <c r="A309" s="67"/>
      <c r="B309" s="68"/>
      <c r="C309" s="25" t="s">
        <v>1062</v>
      </c>
      <c r="D309" s="267" t="s">
        <v>112</v>
      </c>
      <c r="E309" s="27" t="s">
        <v>23</v>
      </c>
      <c r="F309" s="35">
        <v>188.2</v>
      </c>
      <c r="G309" s="458" t="s">
        <v>1064</v>
      </c>
      <c r="H309" s="459"/>
      <c r="I309" s="460"/>
      <c r="J309" s="227"/>
      <c r="K309" s="32"/>
      <c r="L309" s="261">
        <f t="shared" si="33"/>
        <v>0</v>
      </c>
      <c r="M309" s="14"/>
    </row>
    <row r="310" spans="1:13" ht="85.5" customHeight="1" x14ac:dyDescent="0.3">
      <c r="A310" s="69"/>
      <c r="B310" s="8"/>
      <c r="C310" s="82" t="s">
        <v>381</v>
      </c>
      <c r="D310" s="274" t="s">
        <v>113</v>
      </c>
      <c r="E310" s="27" t="s">
        <v>23</v>
      </c>
      <c r="F310" s="75">
        <f>7.7*27.3</f>
        <v>210.21</v>
      </c>
      <c r="G310" s="29">
        <v>3224000</v>
      </c>
      <c r="H310" s="45">
        <v>0.8</v>
      </c>
      <c r="I310" s="102">
        <v>1.1479999999999999</v>
      </c>
      <c r="J310" s="223">
        <f t="shared" ref="J310:J324" si="38">ROUND(F310*G310*H310*I310,-3)</f>
        <v>622415000</v>
      </c>
      <c r="K310" s="32">
        <f t="shared" ref="K310:K325" si="39">ROUND(G310*H310*I310*F310,-3)</f>
        <v>622415000</v>
      </c>
      <c r="L310" s="261">
        <f t="shared" si="33"/>
        <v>0</v>
      </c>
      <c r="M310" s="14"/>
    </row>
    <row r="311" spans="1:13" ht="25.5" x14ac:dyDescent="0.3">
      <c r="A311" s="69"/>
      <c r="B311" s="8"/>
      <c r="C311" s="82" t="s">
        <v>382</v>
      </c>
      <c r="D311" s="280" t="s">
        <v>163</v>
      </c>
      <c r="E311" s="27" t="s">
        <v>35</v>
      </c>
      <c r="F311" s="98">
        <v>1</v>
      </c>
      <c r="G311" s="29">
        <v>40910</v>
      </c>
      <c r="H311" s="50">
        <v>1</v>
      </c>
      <c r="I311" s="51">
        <v>1</v>
      </c>
      <c r="J311" s="223">
        <f t="shared" si="38"/>
        <v>41000</v>
      </c>
      <c r="K311" s="32">
        <f t="shared" si="39"/>
        <v>41000</v>
      </c>
      <c r="L311" s="261">
        <f t="shared" si="33"/>
        <v>0</v>
      </c>
      <c r="M311" s="14"/>
    </row>
    <row r="312" spans="1:13" ht="43.5" customHeight="1" x14ac:dyDescent="0.3">
      <c r="A312" s="69"/>
      <c r="B312" s="8"/>
      <c r="C312" s="82" t="s">
        <v>383</v>
      </c>
      <c r="D312" s="270" t="s">
        <v>52</v>
      </c>
      <c r="E312" s="71" t="s">
        <v>23</v>
      </c>
      <c r="F312" s="72">
        <f>14*7.7+14*2.1</f>
        <v>137.19999999999999</v>
      </c>
      <c r="G312" s="11" t="s">
        <v>53</v>
      </c>
      <c r="H312" s="45">
        <v>0.8</v>
      </c>
      <c r="I312" s="31">
        <v>1.1479999999999999</v>
      </c>
      <c r="J312" s="223">
        <f t="shared" si="38"/>
        <v>29737000</v>
      </c>
      <c r="K312" s="32">
        <f t="shared" si="39"/>
        <v>29737000</v>
      </c>
      <c r="L312" s="261">
        <f t="shared" si="33"/>
        <v>0</v>
      </c>
      <c r="M312" s="158"/>
    </row>
    <row r="313" spans="1:13" ht="25.5" x14ac:dyDescent="0.3">
      <c r="A313" s="69"/>
      <c r="B313" s="8"/>
      <c r="C313" s="82" t="s">
        <v>384</v>
      </c>
      <c r="D313" s="192" t="s">
        <v>58</v>
      </c>
      <c r="E313" s="27" t="s">
        <v>35</v>
      </c>
      <c r="F313" s="98">
        <v>3</v>
      </c>
      <c r="G313" s="29">
        <v>266280</v>
      </c>
      <c r="H313" s="50">
        <v>1</v>
      </c>
      <c r="I313" s="51">
        <v>1</v>
      </c>
      <c r="J313" s="223">
        <f t="shared" si="38"/>
        <v>799000</v>
      </c>
      <c r="K313" s="32">
        <f t="shared" si="39"/>
        <v>799000</v>
      </c>
      <c r="L313" s="261">
        <f t="shared" ref="L313:L324" si="40">J313-K313</f>
        <v>0</v>
      </c>
      <c r="M313" s="14"/>
    </row>
    <row r="314" spans="1:13" ht="25.5" x14ac:dyDescent="0.3">
      <c r="A314" s="69"/>
      <c r="B314" s="8"/>
      <c r="C314" s="82" t="s">
        <v>385</v>
      </c>
      <c r="D314" s="271" t="s">
        <v>54</v>
      </c>
      <c r="E314" s="27" t="s">
        <v>23</v>
      </c>
      <c r="F314" s="72">
        <f>(5.8*3.1)*3</f>
        <v>53.94</v>
      </c>
      <c r="G314" s="46">
        <v>213000</v>
      </c>
      <c r="H314" s="45">
        <v>0.8</v>
      </c>
      <c r="I314" s="79">
        <v>1.1479999999999999</v>
      </c>
      <c r="J314" s="223">
        <f t="shared" si="38"/>
        <v>10552000</v>
      </c>
      <c r="K314" s="32">
        <f t="shared" si="39"/>
        <v>10552000</v>
      </c>
      <c r="L314" s="261">
        <f t="shared" si="40"/>
        <v>0</v>
      </c>
      <c r="M314" s="14"/>
    </row>
    <row r="315" spans="1:13" ht="38.25" x14ac:dyDescent="0.3">
      <c r="A315" s="69"/>
      <c r="B315" s="8"/>
      <c r="C315" s="82" t="s">
        <v>386</v>
      </c>
      <c r="D315" s="270" t="s">
        <v>80</v>
      </c>
      <c r="E315" s="71" t="s">
        <v>23</v>
      </c>
      <c r="F315" s="72">
        <f>14*7.7</f>
        <v>107.8</v>
      </c>
      <c r="G315" s="29">
        <v>385000</v>
      </c>
      <c r="H315" s="45">
        <v>0.8</v>
      </c>
      <c r="I315" s="31">
        <v>1.1479999999999999</v>
      </c>
      <c r="J315" s="223">
        <f t="shared" si="38"/>
        <v>38116000</v>
      </c>
      <c r="K315" s="32">
        <f t="shared" si="39"/>
        <v>38116000</v>
      </c>
      <c r="L315" s="261">
        <f t="shared" si="40"/>
        <v>0</v>
      </c>
      <c r="M315" s="14"/>
    </row>
    <row r="316" spans="1:13" ht="40.5" customHeight="1" x14ac:dyDescent="0.3">
      <c r="A316" s="69"/>
      <c r="B316" s="8"/>
      <c r="C316" s="82" t="s">
        <v>387</v>
      </c>
      <c r="D316" s="272" t="s">
        <v>33</v>
      </c>
      <c r="E316" s="27" t="s">
        <v>23</v>
      </c>
      <c r="F316" s="89">
        <f>14*5</f>
        <v>70</v>
      </c>
      <c r="G316" s="29">
        <v>453000</v>
      </c>
      <c r="H316" s="45">
        <v>0.8</v>
      </c>
      <c r="I316" s="31">
        <v>1.1479999999999999</v>
      </c>
      <c r="J316" s="223">
        <f t="shared" si="38"/>
        <v>29122000</v>
      </c>
      <c r="K316" s="32">
        <f t="shared" si="39"/>
        <v>29122000</v>
      </c>
      <c r="L316" s="261">
        <f t="shared" si="40"/>
        <v>0</v>
      </c>
      <c r="M316" s="14"/>
    </row>
    <row r="317" spans="1:13" ht="37.5" x14ac:dyDescent="0.3">
      <c r="A317" s="69"/>
      <c r="B317" s="8"/>
      <c r="C317" s="82" t="s">
        <v>830</v>
      </c>
      <c r="D317" s="270" t="s">
        <v>51</v>
      </c>
      <c r="E317" s="27" t="s">
        <v>23</v>
      </c>
      <c r="F317" s="72">
        <f>29.3*2.5</f>
        <v>73.25</v>
      </c>
      <c r="G317" s="29">
        <v>453000</v>
      </c>
      <c r="H317" s="45">
        <v>0.8</v>
      </c>
      <c r="I317" s="31">
        <v>1.1479999999999999</v>
      </c>
      <c r="J317" s="223">
        <f t="shared" si="38"/>
        <v>30475000</v>
      </c>
      <c r="K317" s="32">
        <f t="shared" si="39"/>
        <v>30475000</v>
      </c>
      <c r="L317" s="261">
        <f t="shared" si="40"/>
        <v>0</v>
      </c>
      <c r="M317" s="14"/>
    </row>
    <row r="318" spans="1:13" ht="37.5" x14ac:dyDescent="0.3">
      <c r="A318" s="69"/>
      <c r="B318" s="8"/>
      <c r="C318" s="82" t="s">
        <v>388</v>
      </c>
      <c r="D318" s="271" t="s">
        <v>54</v>
      </c>
      <c r="E318" s="27" t="s">
        <v>23</v>
      </c>
      <c r="F318" s="72">
        <f>(7.7*3)*4+(1.6*3)*4+10.9*1</f>
        <v>122.50000000000001</v>
      </c>
      <c r="G318" s="46">
        <v>213000</v>
      </c>
      <c r="H318" s="45">
        <v>0.8</v>
      </c>
      <c r="I318" s="57">
        <v>1.1479999999999999</v>
      </c>
      <c r="J318" s="223">
        <f t="shared" si="38"/>
        <v>23963000</v>
      </c>
      <c r="K318" s="32">
        <f t="shared" si="39"/>
        <v>23963000</v>
      </c>
      <c r="L318" s="261">
        <f t="shared" si="40"/>
        <v>0</v>
      </c>
      <c r="M318" s="14"/>
    </row>
    <row r="319" spans="1:13" ht="38.25" x14ac:dyDescent="0.3">
      <c r="A319" s="69"/>
      <c r="B319" s="8"/>
      <c r="C319" s="82" t="s">
        <v>389</v>
      </c>
      <c r="D319" s="267" t="s">
        <v>89</v>
      </c>
      <c r="E319" s="71" t="s">
        <v>23</v>
      </c>
      <c r="F319" s="72">
        <f>4.3*3</f>
        <v>12.899999999999999</v>
      </c>
      <c r="G319" s="29">
        <v>11000</v>
      </c>
      <c r="H319" s="45">
        <v>0.8</v>
      </c>
      <c r="I319" s="31">
        <v>1.1479999999999999</v>
      </c>
      <c r="J319" s="223">
        <f t="shared" si="38"/>
        <v>130000</v>
      </c>
      <c r="K319" s="32">
        <f t="shared" si="39"/>
        <v>130000</v>
      </c>
      <c r="L319" s="261">
        <f t="shared" si="40"/>
        <v>0</v>
      </c>
      <c r="M319" s="14"/>
    </row>
    <row r="320" spans="1:13" ht="37.5" x14ac:dyDescent="0.3">
      <c r="A320" s="69"/>
      <c r="B320" s="8"/>
      <c r="C320" s="82" t="s">
        <v>390</v>
      </c>
      <c r="D320" s="271" t="s">
        <v>54</v>
      </c>
      <c r="E320" s="27" t="s">
        <v>23</v>
      </c>
      <c r="F320" s="72">
        <f>(3.1*1.5)*3+3.1*1.2</f>
        <v>17.670000000000002</v>
      </c>
      <c r="G320" s="46">
        <v>213000</v>
      </c>
      <c r="H320" s="45">
        <v>0.8</v>
      </c>
      <c r="I320" s="79">
        <v>1.1479999999999999</v>
      </c>
      <c r="J320" s="223">
        <f t="shared" si="38"/>
        <v>3457000</v>
      </c>
      <c r="K320" s="32">
        <f t="shared" si="39"/>
        <v>3457000</v>
      </c>
      <c r="L320" s="261">
        <f t="shared" si="40"/>
        <v>0</v>
      </c>
      <c r="M320" s="14"/>
    </row>
    <row r="321" spans="1:256" ht="40.5" customHeight="1" x14ac:dyDescent="0.3">
      <c r="A321" s="69"/>
      <c r="B321" s="8"/>
      <c r="C321" s="82" t="s">
        <v>391</v>
      </c>
      <c r="D321" s="270" t="s">
        <v>55</v>
      </c>
      <c r="E321" s="27" t="s">
        <v>23</v>
      </c>
      <c r="F321" s="72">
        <f>14*2.4</f>
        <v>33.6</v>
      </c>
      <c r="G321" s="29">
        <v>905000</v>
      </c>
      <c r="H321" s="45">
        <v>0.8</v>
      </c>
      <c r="I321" s="79">
        <v>1.1479999999999999</v>
      </c>
      <c r="J321" s="223">
        <f t="shared" si="38"/>
        <v>27927000</v>
      </c>
      <c r="K321" s="32">
        <f t="shared" si="39"/>
        <v>27927000</v>
      </c>
      <c r="L321" s="261">
        <f t="shared" si="40"/>
        <v>0</v>
      </c>
      <c r="M321" s="14"/>
    </row>
    <row r="322" spans="1:256" ht="38.25" x14ac:dyDescent="0.3">
      <c r="A322" s="69"/>
      <c r="B322" s="8"/>
      <c r="C322" s="82" t="s">
        <v>392</v>
      </c>
      <c r="D322" s="271" t="s">
        <v>32</v>
      </c>
      <c r="E322" s="27" t="s">
        <v>23</v>
      </c>
      <c r="F322" s="72">
        <f>27.3*6</f>
        <v>163.80000000000001</v>
      </c>
      <c r="G322" s="29">
        <v>215000</v>
      </c>
      <c r="H322" s="45">
        <v>0.8</v>
      </c>
      <c r="I322" s="31">
        <v>1.1479999999999999</v>
      </c>
      <c r="J322" s="223">
        <f t="shared" si="38"/>
        <v>32343000</v>
      </c>
      <c r="K322" s="32">
        <f t="shared" si="39"/>
        <v>32343000</v>
      </c>
      <c r="L322" s="261">
        <f t="shared" si="40"/>
        <v>0</v>
      </c>
      <c r="M322" s="14"/>
    </row>
    <row r="323" spans="1:256" ht="38.25" x14ac:dyDescent="0.3">
      <c r="A323" s="69"/>
      <c r="B323" s="8"/>
      <c r="C323" s="82" t="s">
        <v>393</v>
      </c>
      <c r="D323" s="267" t="s">
        <v>24</v>
      </c>
      <c r="E323" s="8" t="s">
        <v>25</v>
      </c>
      <c r="F323" s="89">
        <f>7.7*0.6*0.15+(1.5*0.6*0.05)*2</f>
        <v>0.78299999999999992</v>
      </c>
      <c r="G323" s="29">
        <v>2828000</v>
      </c>
      <c r="H323" s="45">
        <v>0.8</v>
      </c>
      <c r="I323" s="31">
        <v>1.1479999999999999</v>
      </c>
      <c r="J323" s="223">
        <f t="shared" si="38"/>
        <v>2034000</v>
      </c>
      <c r="K323" s="32">
        <f t="shared" si="39"/>
        <v>2034000</v>
      </c>
      <c r="L323" s="261">
        <f t="shared" si="40"/>
        <v>0</v>
      </c>
      <c r="M323" s="14"/>
    </row>
    <row r="324" spans="1:256" ht="38.25" x14ac:dyDescent="0.3">
      <c r="A324" s="69"/>
      <c r="B324" s="8"/>
      <c r="C324" s="82" t="s">
        <v>394</v>
      </c>
      <c r="D324" s="267" t="s">
        <v>56</v>
      </c>
      <c r="E324" s="27" t="s">
        <v>23</v>
      </c>
      <c r="F324" s="72">
        <f>4.3*2.5+3*2.5</f>
        <v>18.25</v>
      </c>
      <c r="G324" s="29">
        <v>735000</v>
      </c>
      <c r="H324" s="45">
        <v>0.8</v>
      </c>
      <c r="I324" s="31">
        <v>1.1479999999999999</v>
      </c>
      <c r="J324" s="223">
        <f t="shared" si="38"/>
        <v>12319000</v>
      </c>
      <c r="K324" s="32">
        <f t="shared" si="39"/>
        <v>12319000</v>
      </c>
      <c r="L324" s="261">
        <f t="shared" si="40"/>
        <v>0</v>
      </c>
      <c r="M324" s="14"/>
    </row>
    <row r="325" spans="1:256" s="289" customFormat="1" ht="61.5" customHeight="1" x14ac:dyDescent="0.3">
      <c r="A325" s="149">
        <v>18</v>
      </c>
      <c r="B325" s="150" t="s">
        <v>1289</v>
      </c>
      <c r="C325" s="455" t="s">
        <v>1290</v>
      </c>
      <c r="D325" s="456"/>
      <c r="E325" s="456"/>
      <c r="F325" s="456"/>
      <c r="G325" s="456"/>
      <c r="H325" s="456"/>
      <c r="I325" s="457"/>
      <c r="J325" s="221">
        <f>SUM(J326:J339)</f>
        <v>491328000</v>
      </c>
      <c r="K325" s="32">
        <f t="shared" si="39"/>
        <v>0</v>
      </c>
      <c r="L325" s="263"/>
      <c r="M325" s="24"/>
    </row>
    <row r="326" spans="1:256" s="290" customFormat="1" ht="56.25" x14ac:dyDescent="0.3">
      <c r="A326" s="211"/>
      <c r="B326" s="17"/>
      <c r="C326" s="25" t="s">
        <v>1163</v>
      </c>
      <c r="D326" s="267" t="s">
        <v>112</v>
      </c>
      <c r="E326" s="27" t="s">
        <v>23</v>
      </c>
      <c r="F326" s="35">
        <v>27</v>
      </c>
      <c r="G326" s="49">
        <v>11100000</v>
      </c>
      <c r="H326" s="323">
        <v>1</v>
      </c>
      <c r="I326" s="268">
        <v>1.4</v>
      </c>
      <c r="J326" s="32">
        <f>ROUND(F326*G326*H326*I326,-3)</f>
        <v>419580000</v>
      </c>
      <c r="K326" s="39">
        <f>ROUND(F326*G326*H326*I326,-3)</f>
        <v>419580000</v>
      </c>
      <c r="L326" s="262">
        <f>J326-K326</f>
        <v>0</v>
      </c>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c r="DK326" s="14"/>
      <c r="DL326" s="14"/>
      <c r="DM326" s="14"/>
      <c r="DN326" s="14"/>
      <c r="DO326" s="14"/>
      <c r="DP326" s="14"/>
      <c r="DQ326" s="14"/>
      <c r="DR326" s="14"/>
      <c r="DS326" s="14"/>
      <c r="DT326" s="14"/>
      <c r="DU326" s="14"/>
      <c r="DV326" s="14"/>
      <c r="DW326" s="14"/>
      <c r="DX326" s="14"/>
      <c r="DY326" s="14"/>
      <c r="DZ326" s="14"/>
      <c r="EA326" s="14"/>
      <c r="EB326" s="14"/>
      <c r="EC326" s="14"/>
      <c r="ED326" s="14"/>
      <c r="EE326" s="14"/>
      <c r="EF326" s="14"/>
      <c r="EG326" s="14"/>
      <c r="EH326" s="14"/>
      <c r="EI326" s="14"/>
      <c r="EJ326" s="14"/>
      <c r="EK326" s="14"/>
      <c r="EL326" s="14"/>
      <c r="EM326" s="14"/>
      <c r="EN326" s="14"/>
      <c r="EO326" s="14"/>
      <c r="EP326" s="14"/>
      <c r="EQ326" s="14"/>
      <c r="ER326" s="14"/>
      <c r="ES326" s="14"/>
      <c r="ET326" s="14"/>
      <c r="EU326" s="14"/>
      <c r="EV326" s="14"/>
      <c r="EW326" s="14"/>
      <c r="EX326" s="14"/>
      <c r="EY326" s="14"/>
      <c r="EZ326" s="14"/>
      <c r="FA326" s="14"/>
      <c r="FB326" s="14"/>
      <c r="FC326" s="14"/>
      <c r="FD326" s="14"/>
      <c r="FE326" s="14"/>
      <c r="FF326" s="14"/>
      <c r="FG326" s="14"/>
      <c r="FH326" s="14"/>
      <c r="FI326" s="14"/>
      <c r="FJ326" s="14"/>
      <c r="FK326" s="14"/>
      <c r="FL326" s="14"/>
      <c r="FM326" s="14"/>
      <c r="FN326" s="14"/>
      <c r="FO326" s="14"/>
      <c r="FP326" s="14"/>
      <c r="FQ326" s="14"/>
      <c r="FR326" s="14"/>
      <c r="FS326" s="14"/>
      <c r="FT326" s="14"/>
      <c r="FU326" s="14"/>
      <c r="FV326" s="14"/>
      <c r="FW326" s="14"/>
      <c r="FX326" s="14"/>
      <c r="FY326" s="14"/>
      <c r="FZ326" s="14"/>
      <c r="GA326" s="14"/>
      <c r="GB326" s="14"/>
      <c r="GC326" s="14"/>
      <c r="GD326" s="14"/>
      <c r="GE326" s="14"/>
      <c r="GF326" s="14"/>
      <c r="GG326" s="14"/>
      <c r="GH326" s="14"/>
      <c r="GI326" s="14"/>
      <c r="GJ326" s="14"/>
      <c r="GK326" s="14"/>
      <c r="GL326" s="14"/>
      <c r="GM326" s="14"/>
      <c r="GN326" s="14"/>
      <c r="GO326" s="14"/>
      <c r="GP326" s="14"/>
      <c r="GQ326" s="14"/>
      <c r="GR326" s="14"/>
      <c r="GS326" s="14"/>
      <c r="GT326" s="14"/>
      <c r="GU326" s="14"/>
      <c r="GV326" s="14"/>
      <c r="GW326" s="14"/>
      <c r="GX326" s="14"/>
      <c r="GY326" s="14"/>
      <c r="GZ326" s="14"/>
      <c r="HA326" s="14"/>
      <c r="HB326" s="14"/>
      <c r="HC326" s="14"/>
      <c r="HD326" s="14"/>
      <c r="HE326" s="14"/>
      <c r="HF326" s="14"/>
      <c r="HG326" s="14"/>
      <c r="HH326" s="14"/>
      <c r="HI326" s="14"/>
      <c r="HJ326" s="14"/>
      <c r="HK326" s="14"/>
      <c r="HL326" s="14"/>
      <c r="HM326" s="14"/>
      <c r="HN326" s="14"/>
      <c r="HO326" s="14"/>
      <c r="HP326" s="14"/>
      <c r="HQ326" s="14"/>
      <c r="HR326" s="14"/>
      <c r="HS326" s="14"/>
      <c r="HT326" s="14"/>
      <c r="HU326" s="14"/>
      <c r="HV326" s="14"/>
      <c r="HW326" s="14"/>
      <c r="HX326" s="14"/>
      <c r="HY326" s="14"/>
      <c r="HZ326" s="14"/>
      <c r="IA326" s="14"/>
      <c r="IB326" s="14"/>
      <c r="IC326" s="14"/>
      <c r="ID326" s="14"/>
      <c r="IE326" s="14"/>
      <c r="IF326" s="14"/>
      <c r="IG326" s="14"/>
      <c r="IH326" s="14"/>
      <c r="II326" s="14"/>
      <c r="IJ326" s="14"/>
      <c r="IK326" s="14"/>
      <c r="IL326" s="14"/>
      <c r="IM326" s="14"/>
      <c r="IN326" s="14"/>
      <c r="IO326" s="14"/>
      <c r="IP326" s="14"/>
      <c r="IQ326" s="14"/>
      <c r="IR326" s="14"/>
      <c r="IS326" s="14"/>
      <c r="IT326" s="14"/>
      <c r="IU326" s="14"/>
      <c r="IV326" s="14"/>
    </row>
    <row r="327" spans="1:256" s="289" customFormat="1" ht="90" customHeight="1" x14ac:dyDescent="0.25">
      <c r="A327" s="67"/>
      <c r="B327" s="68"/>
      <c r="C327" s="25" t="s">
        <v>1062</v>
      </c>
      <c r="D327" s="267" t="s">
        <v>112</v>
      </c>
      <c r="E327" s="27" t="s">
        <v>23</v>
      </c>
      <c r="F327" s="35">
        <v>3.9</v>
      </c>
      <c r="G327" s="464" t="s">
        <v>1063</v>
      </c>
      <c r="H327" s="464"/>
      <c r="I327" s="465"/>
      <c r="J327" s="227"/>
      <c r="K327" s="32"/>
      <c r="L327" s="261">
        <f>J327-K327</f>
        <v>0</v>
      </c>
      <c r="M327" s="251"/>
    </row>
    <row r="328" spans="1:256" s="289" customFormat="1" ht="38.25" x14ac:dyDescent="0.3">
      <c r="A328" s="69"/>
      <c r="B328" s="8"/>
      <c r="C328" s="82" t="s">
        <v>1291</v>
      </c>
      <c r="D328" s="269" t="s">
        <v>88</v>
      </c>
      <c r="E328" s="8" t="s">
        <v>25</v>
      </c>
      <c r="F328" s="72">
        <f>(0.5*0.5*2.3)*2</f>
        <v>1.1499999999999999</v>
      </c>
      <c r="G328" s="11">
        <v>2828000</v>
      </c>
      <c r="H328" s="45">
        <v>1</v>
      </c>
      <c r="I328" s="31">
        <v>1.1479999999999999</v>
      </c>
      <c r="J328" s="223">
        <f t="shared" ref="J328:J339" si="41">ROUND(F328*G328*H328*I328,-3)</f>
        <v>3734000</v>
      </c>
      <c r="K328" s="32">
        <f t="shared" ref="K328:K339" si="42">ROUND(G328*H328*I328*F328,-3)</f>
        <v>3734000</v>
      </c>
      <c r="L328" s="262">
        <f t="shared" ref="L328:L339" si="43">J328-K328</f>
        <v>0</v>
      </c>
      <c r="M328" s="14"/>
    </row>
    <row r="329" spans="1:256" s="289" customFormat="1" ht="38.25" x14ac:dyDescent="0.3">
      <c r="A329" s="69"/>
      <c r="B329" s="8"/>
      <c r="C329" s="82" t="s">
        <v>1292</v>
      </c>
      <c r="D329" s="267" t="s">
        <v>26</v>
      </c>
      <c r="E329" s="71" t="s">
        <v>23</v>
      </c>
      <c r="F329" s="72">
        <f>2.6*2.2</f>
        <v>5.7200000000000006</v>
      </c>
      <c r="G329" s="29">
        <v>679000</v>
      </c>
      <c r="H329" s="45">
        <v>1</v>
      </c>
      <c r="I329" s="31">
        <v>1.1479999999999999</v>
      </c>
      <c r="J329" s="223">
        <f t="shared" si="41"/>
        <v>4459000</v>
      </c>
      <c r="K329" s="32">
        <f t="shared" si="42"/>
        <v>4459000</v>
      </c>
      <c r="L329" s="262">
        <f t="shared" si="43"/>
        <v>0</v>
      </c>
      <c r="M329" s="14"/>
    </row>
    <row r="330" spans="1:256" s="289" customFormat="1" ht="36.75" customHeight="1" x14ac:dyDescent="0.3">
      <c r="A330" s="69"/>
      <c r="B330" s="8"/>
      <c r="C330" s="82" t="s">
        <v>1293</v>
      </c>
      <c r="D330" s="270" t="s">
        <v>101</v>
      </c>
      <c r="E330" s="71" t="s">
        <v>23</v>
      </c>
      <c r="F330" s="72">
        <f>6.6*4.7</f>
        <v>31.02</v>
      </c>
      <c r="G330" s="29">
        <v>339000</v>
      </c>
      <c r="H330" s="45">
        <v>1</v>
      </c>
      <c r="I330" s="31">
        <v>1.1479999999999999</v>
      </c>
      <c r="J330" s="223">
        <f t="shared" si="41"/>
        <v>12072000</v>
      </c>
      <c r="K330" s="32">
        <f t="shared" si="42"/>
        <v>12072000</v>
      </c>
      <c r="L330" s="261">
        <f t="shared" si="43"/>
        <v>0</v>
      </c>
      <c r="M330" s="158"/>
    </row>
    <row r="331" spans="1:256" s="289" customFormat="1" ht="36.75" customHeight="1" x14ac:dyDescent="0.3">
      <c r="A331" s="69"/>
      <c r="B331" s="8"/>
      <c r="C331" s="82" t="s">
        <v>1294</v>
      </c>
      <c r="D331" s="270" t="s">
        <v>29</v>
      </c>
      <c r="E331" s="27" t="s">
        <v>23</v>
      </c>
      <c r="F331" s="72">
        <f>8*4</f>
        <v>32</v>
      </c>
      <c r="G331" s="29">
        <v>792000</v>
      </c>
      <c r="H331" s="45">
        <v>1</v>
      </c>
      <c r="I331" s="31">
        <v>1.1479999999999999</v>
      </c>
      <c r="J331" s="223">
        <f t="shared" si="41"/>
        <v>29095000</v>
      </c>
      <c r="K331" s="32">
        <f t="shared" si="42"/>
        <v>29095000</v>
      </c>
      <c r="L331" s="261">
        <f t="shared" si="43"/>
        <v>0</v>
      </c>
      <c r="M331" s="14"/>
    </row>
    <row r="332" spans="1:256" s="289" customFormat="1" ht="38.25" x14ac:dyDescent="0.3">
      <c r="A332" s="69"/>
      <c r="B332" s="8"/>
      <c r="C332" s="82" t="s">
        <v>1295</v>
      </c>
      <c r="D332" s="271" t="s">
        <v>32</v>
      </c>
      <c r="E332" s="27" t="s">
        <v>23</v>
      </c>
      <c r="F332" s="72">
        <f>4*3.6</f>
        <v>14.4</v>
      </c>
      <c r="G332" s="29">
        <v>215000</v>
      </c>
      <c r="H332" s="45">
        <v>0.8</v>
      </c>
      <c r="I332" s="31">
        <v>1.1479999999999999</v>
      </c>
      <c r="J332" s="223">
        <f t="shared" si="41"/>
        <v>2843000</v>
      </c>
      <c r="K332" s="32">
        <f t="shared" si="42"/>
        <v>2843000</v>
      </c>
      <c r="L332" s="261">
        <f t="shared" si="43"/>
        <v>0</v>
      </c>
      <c r="M332" s="14"/>
    </row>
    <row r="333" spans="1:256" s="289" customFormat="1" ht="37.5" x14ac:dyDescent="0.3">
      <c r="A333" s="69"/>
      <c r="B333" s="8"/>
      <c r="C333" s="82" t="s">
        <v>1296</v>
      </c>
      <c r="D333" s="270" t="s">
        <v>51</v>
      </c>
      <c r="E333" s="27" t="s">
        <v>23</v>
      </c>
      <c r="F333" s="72">
        <f>4.5*4.8</f>
        <v>21.599999999999998</v>
      </c>
      <c r="G333" s="29">
        <v>453000</v>
      </c>
      <c r="H333" s="45">
        <v>1</v>
      </c>
      <c r="I333" s="31">
        <v>1.1479999999999999</v>
      </c>
      <c r="J333" s="223">
        <f t="shared" si="41"/>
        <v>11233000</v>
      </c>
      <c r="K333" s="32">
        <f t="shared" si="42"/>
        <v>11233000</v>
      </c>
      <c r="L333" s="261">
        <f t="shared" si="43"/>
        <v>0</v>
      </c>
      <c r="M333" s="14"/>
    </row>
    <row r="334" spans="1:256" s="289" customFormat="1" ht="38.25" x14ac:dyDescent="0.3">
      <c r="A334" s="69"/>
      <c r="B334" s="8"/>
      <c r="C334" s="82" t="s">
        <v>1297</v>
      </c>
      <c r="D334" s="273" t="s">
        <v>44</v>
      </c>
      <c r="E334" s="63" t="s">
        <v>45</v>
      </c>
      <c r="F334" s="77">
        <v>6.5</v>
      </c>
      <c r="G334" s="46">
        <v>28000</v>
      </c>
      <c r="H334" s="45">
        <v>1</v>
      </c>
      <c r="I334" s="31">
        <v>1.1479999999999999</v>
      </c>
      <c r="J334" s="223">
        <f t="shared" si="41"/>
        <v>209000</v>
      </c>
      <c r="K334" s="32">
        <f t="shared" si="42"/>
        <v>209000</v>
      </c>
      <c r="L334" s="261">
        <f t="shared" si="43"/>
        <v>0</v>
      </c>
      <c r="M334" s="14"/>
    </row>
    <row r="335" spans="1:256" s="289" customFormat="1" ht="38.25" x14ac:dyDescent="0.3">
      <c r="A335" s="69"/>
      <c r="B335" s="8"/>
      <c r="C335" s="82" t="s">
        <v>166</v>
      </c>
      <c r="D335" s="271" t="s">
        <v>47</v>
      </c>
      <c r="E335" s="63" t="s">
        <v>45</v>
      </c>
      <c r="F335" s="77">
        <v>6.5</v>
      </c>
      <c r="G335" s="46">
        <v>28000</v>
      </c>
      <c r="H335" s="45">
        <v>1</v>
      </c>
      <c r="I335" s="31">
        <v>1.1479999999999999</v>
      </c>
      <c r="J335" s="223">
        <f t="shared" si="41"/>
        <v>209000</v>
      </c>
      <c r="K335" s="32">
        <f t="shared" si="42"/>
        <v>209000</v>
      </c>
      <c r="L335" s="261">
        <f t="shared" si="43"/>
        <v>0</v>
      </c>
      <c r="M335" s="14"/>
    </row>
    <row r="336" spans="1:256" s="289" customFormat="1" ht="25.5" x14ac:dyDescent="0.3">
      <c r="A336" s="69"/>
      <c r="B336" s="8"/>
      <c r="C336" s="82" t="s">
        <v>1298</v>
      </c>
      <c r="D336" s="276" t="s">
        <v>41</v>
      </c>
      <c r="E336" s="59" t="s">
        <v>42</v>
      </c>
      <c r="F336" s="98">
        <v>20</v>
      </c>
      <c r="G336" s="11">
        <v>10650</v>
      </c>
      <c r="H336" s="60">
        <v>1</v>
      </c>
      <c r="I336" s="61">
        <v>1</v>
      </c>
      <c r="J336" s="223">
        <f t="shared" si="41"/>
        <v>213000</v>
      </c>
      <c r="K336" s="32">
        <f t="shared" si="42"/>
        <v>213000</v>
      </c>
      <c r="L336" s="261">
        <f t="shared" si="43"/>
        <v>0</v>
      </c>
      <c r="M336" s="14"/>
    </row>
    <row r="337" spans="1:13" s="289" customFormat="1" ht="38.25" x14ac:dyDescent="0.3">
      <c r="A337" s="69"/>
      <c r="B337" s="8"/>
      <c r="C337" s="82" t="s">
        <v>1299</v>
      </c>
      <c r="D337" s="267" t="s">
        <v>24</v>
      </c>
      <c r="E337" s="27" t="s">
        <v>25</v>
      </c>
      <c r="F337" s="72">
        <f>(0.25*0.25*3.6)*4</f>
        <v>0.9</v>
      </c>
      <c r="G337" s="29">
        <v>2828000</v>
      </c>
      <c r="H337" s="45">
        <v>1</v>
      </c>
      <c r="I337" s="31">
        <v>1.1479999999999999</v>
      </c>
      <c r="J337" s="223">
        <f t="shared" si="41"/>
        <v>2922000</v>
      </c>
      <c r="K337" s="32">
        <f t="shared" si="42"/>
        <v>2922000</v>
      </c>
      <c r="L337" s="261">
        <f t="shared" si="43"/>
        <v>0</v>
      </c>
      <c r="M337" s="14"/>
    </row>
    <row r="338" spans="1:13" s="289" customFormat="1" ht="39.75" customHeight="1" x14ac:dyDescent="0.3">
      <c r="A338" s="69"/>
      <c r="B338" s="8"/>
      <c r="C338" s="82" t="s">
        <v>1300</v>
      </c>
      <c r="D338" s="270" t="s">
        <v>31</v>
      </c>
      <c r="E338" s="27" t="s">
        <v>23</v>
      </c>
      <c r="F338" s="75">
        <f>2.5*4</f>
        <v>10</v>
      </c>
      <c r="G338" s="29">
        <v>339000</v>
      </c>
      <c r="H338" s="45">
        <v>1</v>
      </c>
      <c r="I338" s="31">
        <v>1.1479999999999999</v>
      </c>
      <c r="J338" s="223">
        <f t="shared" si="41"/>
        <v>3892000</v>
      </c>
      <c r="K338" s="32">
        <f t="shared" si="42"/>
        <v>3892000</v>
      </c>
      <c r="L338" s="261">
        <f t="shared" si="43"/>
        <v>0</v>
      </c>
      <c r="M338" s="14"/>
    </row>
    <row r="339" spans="1:13" s="289" customFormat="1" ht="39.75" customHeight="1" x14ac:dyDescent="0.3">
      <c r="A339" s="69"/>
      <c r="B339" s="8"/>
      <c r="C339" s="82" t="s">
        <v>1301</v>
      </c>
      <c r="D339" s="270" t="s">
        <v>52</v>
      </c>
      <c r="E339" s="27" t="s">
        <v>23</v>
      </c>
      <c r="F339" s="72">
        <f>4*0.8</f>
        <v>3.2</v>
      </c>
      <c r="G339" s="11" t="s">
        <v>53</v>
      </c>
      <c r="H339" s="45">
        <v>1</v>
      </c>
      <c r="I339" s="79">
        <v>1.1479999999999999</v>
      </c>
      <c r="J339" s="223">
        <f t="shared" si="41"/>
        <v>867000</v>
      </c>
      <c r="K339" s="32">
        <f t="shared" si="42"/>
        <v>867000</v>
      </c>
      <c r="L339" s="261">
        <f t="shared" si="43"/>
        <v>0</v>
      </c>
      <c r="M339" s="14"/>
    </row>
    <row r="340" spans="1:13" s="169" customFormat="1" ht="53.25" customHeight="1" x14ac:dyDescent="0.3">
      <c r="A340" s="149">
        <v>12</v>
      </c>
      <c r="B340" s="150" t="s">
        <v>16</v>
      </c>
      <c r="C340" s="455" t="s">
        <v>1083</v>
      </c>
      <c r="D340" s="456"/>
      <c r="E340" s="456"/>
      <c r="F340" s="456"/>
      <c r="G340" s="456"/>
      <c r="H340" s="456"/>
      <c r="I340" s="457"/>
      <c r="J340" s="221">
        <f>SUM(J341)</f>
        <v>0</v>
      </c>
      <c r="K340" s="32">
        <f>ROUND(G340*H340*I340*F340,-3)</f>
        <v>0</v>
      </c>
      <c r="L340" s="261">
        <f t="shared" ref="L340:L397" si="44">J340-K340</f>
        <v>0</v>
      </c>
      <c r="M340" s="24"/>
    </row>
    <row r="341" spans="1:13" ht="90" customHeight="1" x14ac:dyDescent="0.3">
      <c r="A341" s="67"/>
      <c r="B341" s="68"/>
      <c r="C341" s="25" t="s">
        <v>1062</v>
      </c>
      <c r="D341" s="267" t="s">
        <v>112</v>
      </c>
      <c r="E341" s="27" t="s">
        <v>23</v>
      </c>
      <c r="F341" s="35">
        <v>26.2</v>
      </c>
      <c r="G341" s="458" t="s">
        <v>1064</v>
      </c>
      <c r="H341" s="459"/>
      <c r="I341" s="460"/>
      <c r="J341" s="227"/>
      <c r="K341" s="32"/>
      <c r="L341" s="261">
        <f t="shared" si="44"/>
        <v>0</v>
      </c>
      <c r="M341" s="14"/>
    </row>
    <row r="342" spans="1:13" ht="61.5" customHeight="1" x14ac:dyDescent="0.3">
      <c r="A342" s="67" t="s">
        <v>1302</v>
      </c>
      <c r="B342" s="68" t="s">
        <v>16</v>
      </c>
      <c r="C342" s="455" t="s">
        <v>1084</v>
      </c>
      <c r="D342" s="456"/>
      <c r="E342" s="456"/>
      <c r="F342" s="456"/>
      <c r="G342" s="456"/>
      <c r="H342" s="456"/>
      <c r="I342" s="457"/>
      <c r="J342" s="221">
        <f>SUM(J344:J362)</f>
        <v>107590000</v>
      </c>
      <c r="K342" s="32"/>
      <c r="L342" s="261">
        <f t="shared" si="44"/>
        <v>107590000</v>
      </c>
      <c r="M342" s="14"/>
    </row>
    <row r="343" spans="1:13" ht="27" customHeight="1" x14ac:dyDescent="0.3">
      <c r="A343" s="69"/>
      <c r="B343" s="8"/>
      <c r="C343" s="433" t="s">
        <v>1085</v>
      </c>
      <c r="D343" s="434"/>
      <c r="E343" s="434"/>
      <c r="F343" s="466"/>
      <c r="G343" s="434"/>
      <c r="H343" s="434"/>
      <c r="I343" s="467"/>
      <c r="J343" s="223"/>
      <c r="K343" s="32">
        <f>ROUND(G343*H343*I343*F343,-3)</f>
        <v>0</v>
      </c>
      <c r="L343" s="261">
        <f t="shared" si="44"/>
        <v>0</v>
      </c>
      <c r="M343" s="14"/>
    </row>
    <row r="344" spans="1:13" ht="72" customHeight="1" x14ac:dyDescent="0.3">
      <c r="A344" s="69"/>
      <c r="B344" s="8"/>
      <c r="C344" s="82" t="s">
        <v>1086</v>
      </c>
      <c r="D344" s="274" t="s">
        <v>113</v>
      </c>
      <c r="E344" s="27" t="s">
        <v>23</v>
      </c>
      <c r="F344" s="89">
        <f>6.4*4.05</f>
        <v>25.92</v>
      </c>
      <c r="G344" s="29">
        <v>3224000</v>
      </c>
      <c r="H344" s="45">
        <v>0.8</v>
      </c>
      <c r="I344" s="102">
        <v>1.1479999999999999</v>
      </c>
      <c r="J344" s="223">
        <f t="shared" ref="J344:J362" si="45">ROUND(F344*G344*H344*I344,-3)</f>
        <v>76747000</v>
      </c>
      <c r="K344" s="32">
        <f t="shared" ref="K344:K363" si="46">ROUND(G344*H344*I344*F344,-3)</f>
        <v>76747000</v>
      </c>
      <c r="L344" s="261">
        <f t="shared" si="44"/>
        <v>0</v>
      </c>
      <c r="M344" s="14"/>
    </row>
    <row r="345" spans="1:13" ht="38.25" x14ac:dyDescent="0.3">
      <c r="A345" s="69"/>
      <c r="B345" s="8"/>
      <c r="C345" s="82" t="s">
        <v>395</v>
      </c>
      <c r="D345" s="270" t="s">
        <v>80</v>
      </c>
      <c r="E345" s="71" t="s">
        <v>23</v>
      </c>
      <c r="F345" s="72">
        <f>4.7*3.75</f>
        <v>17.625</v>
      </c>
      <c r="G345" s="29">
        <v>385000</v>
      </c>
      <c r="H345" s="45">
        <v>0.8</v>
      </c>
      <c r="I345" s="31">
        <v>1.1479999999999999</v>
      </c>
      <c r="J345" s="223">
        <f t="shared" si="45"/>
        <v>6232000</v>
      </c>
      <c r="K345" s="32">
        <f t="shared" si="46"/>
        <v>6232000</v>
      </c>
      <c r="L345" s="261">
        <f t="shared" si="44"/>
        <v>0</v>
      </c>
      <c r="M345" s="14"/>
    </row>
    <row r="346" spans="1:13" ht="37.5" x14ac:dyDescent="0.3">
      <c r="A346" s="69"/>
      <c r="B346" s="8"/>
      <c r="C346" s="82" t="s">
        <v>820</v>
      </c>
      <c r="D346" s="270" t="s">
        <v>29</v>
      </c>
      <c r="E346" s="27" t="s">
        <v>23</v>
      </c>
      <c r="F346" s="89">
        <f>(1.15*2.05)*2</f>
        <v>4.714999999999999</v>
      </c>
      <c r="G346" s="29">
        <v>792000</v>
      </c>
      <c r="H346" s="45">
        <v>0.8</v>
      </c>
      <c r="I346" s="31">
        <v>1.1479999999999999</v>
      </c>
      <c r="J346" s="223">
        <f t="shared" si="45"/>
        <v>3430000</v>
      </c>
      <c r="K346" s="32">
        <f t="shared" si="46"/>
        <v>3430000</v>
      </c>
      <c r="L346" s="261">
        <f t="shared" si="44"/>
        <v>0</v>
      </c>
      <c r="M346" s="14"/>
    </row>
    <row r="347" spans="1:13" ht="37.5" x14ac:dyDescent="0.3">
      <c r="A347" s="69"/>
      <c r="B347" s="8"/>
      <c r="C347" s="82" t="s">
        <v>821</v>
      </c>
      <c r="D347" s="270" t="s">
        <v>66</v>
      </c>
      <c r="E347" s="27" t="s">
        <v>23</v>
      </c>
      <c r="F347" s="72">
        <f>(1.3*2.05)*2</f>
        <v>5.33</v>
      </c>
      <c r="G347" s="29">
        <v>339000</v>
      </c>
      <c r="H347" s="45">
        <v>0.8</v>
      </c>
      <c r="I347" s="31">
        <v>1.1479999999999999</v>
      </c>
      <c r="J347" s="223">
        <f t="shared" si="45"/>
        <v>1659000</v>
      </c>
      <c r="K347" s="32">
        <f t="shared" si="46"/>
        <v>1659000</v>
      </c>
      <c r="L347" s="261">
        <f t="shared" si="44"/>
        <v>0</v>
      </c>
      <c r="M347" s="14"/>
    </row>
    <row r="348" spans="1:13" ht="36.75" customHeight="1" x14ac:dyDescent="0.3">
      <c r="A348" s="69"/>
      <c r="B348" s="8"/>
      <c r="C348" s="82" t="s">
        <v>396</v>
      </c>
      <c r="D348" s="270" t="s">
        <v>66</v>
      </c>
      <c r="E348" s="27" t="s">
        <v>23</v>
      </c>
      <c r="F348" s="89">
        <f>(6*2.1)*2</f>
        <v>25.200000000000003</v>
      </c>
      <c r="G348" s="29">
        <v>339000</v>
      </c>
      <c r="H348" s="45">
        <v>0.8</v>
      </c>
      <c r="I348" s="102">
        <v>1.1479999999999999</v>
      </c>
      <c r="J348" s="223">
        <f t="shared" si="45"/>
        <v>7846000</v>
      </c>
      <c r="K348" s="32">
        <f t="shared" si="46"/>
        <v>7846000</v>
      </c>
      <c r="L348" s="261">
        <f t="shared" si="44"/>
        <v>0</v>
      </c>
      <c r="M348" s="14"/>
    </row>
    <row r="349" spans="1:13" ht="37.5" x14ac:dyDescent="0.3">
      <c r="A349" s="69"/>
      <c r="B349" s="8"/>
      <c r="C349" s="82" t="s">
        <v>397</v>
      </c>
      <c r="D349" s="270" t="s">
        <v>51</v>
      </c>
      <c r="E349" s="27" t="s">
        <v>23</v>
      </c>
      <c r="F349" s="72">
        <f>1.1*4.05</f>
        <v>4.4550000000000001</v>
      </c>
      <c r="G349" s="29">
        <v>453000</v>
      </c>
      <c r="H349" s="45">
        <v>0.8</v>
      </c>
      <c r="I349" s="31">
        <v>1.1479999999999999</v>
      </c>
      <c r="J349" s="223">
        <f t="shared" si="45"/>
        <v>1853000</v>
      </c>
      <c r="K349" s="32">
        <f t="shared" si="46"/>
        <v>1853000</v>
      </c>
      <c r="L349" s="261">
        <f t="shared" si="44"/>
        <v>0</v>
      </c>
      <c r="M349" s="14"/>
    </row>
    <row r="350" spans="1:13" ht="39.75" customHeight="1" x14ac:dyDescent="0.3">
      <c r="A350" s="69"/>
      <c r="B350" s="8"/>
      <c r="C350" s="82" t="s">
        <v>398</v>
      </c>
      <c r="D350" s="270" t="s">
        <v>31</v>
      </c>
      <c r="E350" s="71" t="s">
        <v>23</v>
      </c>
      <c r="F350" s="75">
        <f>4.2*4</f>
        <v>16.8</v>
      </c>
      <c r="G350" s="29">
        <v>339000</v>
      </c>
      <c r="H350" s="45">
        <v>0.8</v>
      </c>
      <c r="I350" s="31">
        <v>1.1479999999999999</v>
      </c>
      <c r="J350" s="223">
        <f t="shared" si="45"/>
        <v>5230000</v>
      </c>
      <c r="K350" s="32">
        <f t="shared" si="46"/>
        <v>5230000</v>
      </c>
      <c r="L350" s="261">
        <f t="shared" si="44"/>
        <v>0</v>
      </c>
      <c r="M350" s="14"/>
    </row>
    <row r="351" spans="1:13" ht="39.75" customHeight="1" x14ac:dyDescent="0.3">
      <c r="A351" s="69"/>
      <c r="B351" s="8"/>
      <c r="C351" s="82" t="s">
        <v>399</v>
      </c>
      <c r="D351" s="270" t="s">
        <v>31</v>
      </c>
      <c r="E351" s="71" t="s">
        <v>23</v>
      </c>
      <c r="F351" s="75">
        <f>1.2*4</f>
        <v>4.8</v>
      </c>
      <c r="G351" s="29">
        <v>339000</v>
      </c>
      <c r="H351" s="45">
        <v>0.8</v>
      </c>
      <c r="I351" s="31">
        <v>1.1479999999999999</v>
      </c>
      <c r="J351" s="223">
        <f t="shared" si="45"/>
        <v>1494000</v>
      </c>
      <c r="K351" s="32">
        <f t="shared" si="46"/>
        <v>1494000</v>
      </c>
      <c r="L351" s="261">
        <f t="shared" si="44"/>
        <v>0</v>
      </c>
      <c r="M351" s="14"/>
    </row>
    <row r="352" spans="1:13" ht="38.25" x14ac:dyDescent="0.3">
      <c r="A352" s="69"/>
      <c r="B352" s="8"/>
      <c r="C352" s="82" t="s">
        <v>400</v>
      </c>
      <c r="D352" s="271" t="s">
        <v>32</v>
      </c>
      <c r="E352" s="96" t="s">
        <v>91</v>
      </c>
      <c r="F352" s="72">
        <f>1.1*4</f>
        <v>4.4000000000000004</v>
      </c>
      <c r="G352" s="29">
        <v>215000</v>
      </c>
      <c r="H352" s="45">
        <v>0.8</v>
      </c>
      <c r="I352" s="79">
        <v>1.1479999999999999</v>
      </c>
      <c r="J352" s="223">
        <f t="shared" si="45"/>
        <v>869000</v>
      </c>
      <c r="K352" s="32">
        <f t="shared" si="46"/>
        <v>869000</v>
      </c>
      <c r="L352" s="261">
        <f t="shared" si="44"/>
        <v>0</v>
      </c>
      <c r="M352" s="14"/>
    </row>
    <row r="353" spans="1:13" ht="25.5" x14ac:dyDescent="0.3">
      <c r="A353" s="69"/>
      <c r="B353" s="8"/>
      <c r="C353" s="82" t="s">
        <v>401</v>
      </c>
      <c r="D353" s="271" t="s">
        <v>864</v>
      </c>
      <c r="E353" s="27" t="s">
        <v>35</v>
      </c>
      <c r="F353" s="98">
        <v>1</v>
      </c>
      <c r="G353" s="29">
        <v>44990</v>
      </c>
      <c r="H353" s="50">
        <v>1</v>
      </c>
      <c r="I353" s="51">
        <v>1</v>
      </c>
      <c r="J353" s="223">
        <f t="shared" si="45"/>
        <v>45000</v>
      </c>
      <c r="K353" s="32">
        <f t="shared" si="46"/>
        <v>45000</v>
      </c>
      <c r="L353" s="261">
        <f t="shared" si="44"/>
        <v>0</v>
      </c>
      <c r="M353" s="158"/>
    </row>
    <row r="354" spans="1:13" ht="25.5" x14ac:dyDescent="0.3">
      <c r="A354" s="69"/>
      <c r="B354" s="8"/>
      <c r="C354" s="82" t="s">
        <v>402</v>
      </c>
      <c r="D354" s="279" t="s">
        <v>825</v>
      </c>
      <c r="E354" s="71" t="s">
        <v>35</v>
      </c>
      <c r="F354" s="98">
        <v>1</v>
      </c>
      <c r="G354" s="29">
        <v>106510</v>
      </c>
      <c r="H354" s="37">
        <v>1</v>
      </c>
      <c r="I354" s="201">
        <v>1</v>
      </c>
      <c r="J354" s="223">
        <f t="shared" si="45"/>
        <v>107000</v>
      </c>
      <c r="K354" s="32">
        <f t="shared" si="46"/>
        <v>107000</v>
      </c>
      <c r="L354" s="261">
        <f t="shared" si="44"/>
        <v>0</v>
      </c>
      <c r="M354" s="14"/>
    </row>
    <row r="355" spans="1:13" ht="37.5" x14ac:dyDescent="0.3">
      <c r="A355" s="69"/>
      <c r="B355" s="8"/>
      <c r="C355" s="82" t="s">
        <v>403</v>
      </c>
      <c r="D355" s="267" t="s">
        <v>95</v>
      </c>
      <c r="E355" s="71" t="s">
        <v>25</v>
      </c>
      <c r="F355" s="72">
        <f>(0.95*0.2*0.25)*6</f>
        <v>0.28500000000000003</v>
      </c>
      <c r="G355" s="11">
        <v>1000000</v>
      </c>
      <c r="H355" s="45">
        <v>0.8</v>
      </c>
      <c r="I355" s="31">
        <v>1.1479999999999999</v>
      </c>
      <c r="J355" s="223">
        <f t="shared" si="45"/>
        <v>262000</v>
      </c>
      <c r="K355" s="32">
        <f t="shared" si="46"/>
        <v>262000</v>
      </c>
      <c r="L355" s="261">
        <f t="shared" si="44"/>
        <v>0</v>
      </c>
      <c r="M355" s="14"/>
    </row>
    <row r="356" spans="1:13" ht="37.5" x14ac:dyDescent="0.3">
      <c r="A356" s="69"/>
      <c r="B356" s="8"/>
      <c r="C356" s="82" t="s">
        <v>404</v>
      </c>
      <c r="D356" s="270" t="s">
        <v>28</v>
      </c>
      <c r="E356" s="27" t="s">
        <v>23</v>
      </c>
      <c r="F356" s="72">
        <f>(0.95*0.2)*10+(0.45*0.4)*2</f>
        <v>2.2599999999999998</v>
      </c>
      <c r="G356" s="11">
        <v>396000</v>
      </c>
      <c r="H356" s="45">
        <v>0.8</v>
      </c>
      <c r="I356" s="31">
        <v>1.1479999999999999</v>
      </c>
      <c r="J356" s="223">
        <f t="shared" si="45"/>
        <v>822000</v>
      </c>
      <c r="K356" s="32">
        <f t="shared" si="46"/>
        <v>822000</v>
      </c>
      <c r="L356" s="261">
        <f t="shared" si="44"/>
        <v>0</v>
      </c>
      <c r="M356" s="14"/>
    </row>
    <row r="357" spans="1:13" ht="37.5" customHeight="1" x14ac:dyDescent="0.3">
      <c r="A357" s="69"/>
      <c r="B357" s="8"/>
      <c r="C357" s="82" t="s">
        <v>405</v>
      </c>
      <c r="D357" s="270" t="s">
        <v>52</v>
      </c>
      <c r="E357" s="27" t="s">
        <v>23</v>
      </c>
      <c r="F357" s="72">
        <f>0.95*0.6</f>
        <v>0.56999999999999995</v>
      </c>
      <c r="G357" s="11" t="s">
        <v>53</v>
      </c>
      <c r="H357" s="45">
        <v>0.8</v>
      </c>
      <c r="I357" s="79">
        <v>1.1479999999999999</v>
      </c>
      <c r="J357" s="223">
        <f t="shared" si="45"/>
        <v>124000</v>
      </c>
      <c r="K357" s="32">
        <f t="shared" si="46"/>
        <v>124000</v>
      </c>
      <c r="L357" s="261">
        <f t="shared" si="44"/>
        <v>0</v>
      </c>
      <c r="M357" s="14"/>
    </row>
    <row r="358" spans="1:13" ht="25.5" x14ac:dyDescent="0.3">
      <c r="A358" s="69"/>
      <c r="B358" s="8"/>
      <c r="C358" s="82" t="s">
        <v>406</v>
      </c>
      <c r="D358" s="279" t="s">
        <v>824</v>
      </c>
      <c r="E358" s="27" t="s">
        <v>35</v>
      </c>
      <c r="F358" s="190">
        <v>50</v>
      </c>
      <c r="G358" s="175">
        <v>3200</v>
      </c>
      <c r="H358" s="50">
        <v>1</v>
      </c>
      <c r="I358" s="51">
        <v>1</v>
      </c>
      <c r="J358" s="229">
        <f t="shared" si="45"/>
        <v>160000</v>
      </c>
      <c r="K358" s="32">
        <f t="shared" si="46"/>
        <v>160000</v>
      </c>
      <c r="L358" s="261">
        <f t="shared" si="44"/>
        <v>0</v>
      </c>
      <c r="M358" s="14"/>
    </row>
    <row r="359" spans="1:13" ht="37.5" x14ac:dyDescent="0.3">
      <c r="A359" s="69"/>
      <c r="B359" s="8"/>
      <c r="C359" s="82" t="s">
        <v>829</v>
      </c>
      <c r="D359" s="270" t="s">
        <v>93</v>
      </c>
      <c r="E359" s="8" t="s">
        <v>25</v>
      </c>
      <c r="F359" s="72">
        <f>(0.7*0.2*0.15)*4</f>
        <v>8.3999999999999991E-2</v>
      </c>
      <c r="G359" s="11">
        <v>1837000</v>
      </c>
      <c r="H359" s="45">
        <v>0.8</v>
      </c>
      <c r="I359" s="79">
        <v>1.1479999999999999</v>
      </c>
      <c r="J359" s="223">
        <f t="shared" si="45"/>
        <v>142000</v>
      </c>
      <c r="K359" s="32">
        <f t="shared" si="46"/>
        <v>142000</v>
      </c>
      <c r="L359" s="261">
        <f t="shared" si="44"/>
        <v>0</v>
      </c>
      <c r="M359" s="14"/>
    </row>
    <row r="360" spans="1:13" ht="38.25" x14ac:dyDescent="0.3">
      <c r="A360" s="69"/>
      <c r="B360" s="8"/>
      <c r="C360" s="82" t="s">
        <v>407</v>
      </c>
      <c r="D360" s="271" t="s">
        <v>47</v>
      </c>
      <c r="E360" s="63" t="s">
        <v>45</v>
      </c>
      <c r="F360" s="77">
        <v>7</v>
      </c>
      <c r="G360" s="46">
        <v>28000</v>
      </c>
      <c r="H360" s="45">
        <v>0.8</v>
      </c>
      <c r="I360" s="31">
        <v>1.1479999999999999</v>
      </c>
      <c r="J360" s="223">
        <f t="shared" si="45"/>
        <v>180000</v>
      </c>
      <c r="K360" s="32">
        <f t="shared" si="46"/>
        <v>180000</v>
      </c>
      <c r="L360" s="261">
        <f t="shared" si="44"/>
        <v>0</v>
      </c>
      <c r="M360" s="14"/>
    </row>
    <row r="361" spans="1:13" ht="38.25" x14ac:dyDescent="0.3">
      <c r="A361" s="69"/>
      <c r="B361" s="8"/>
      <c r="C361" s="82" t="s">
        <v>408</v>
      </c>
      <c r="D361" s="271" t="s">
        <v>47</v>
      </c>
      <c r="E361" s="63" t="s">
        <v>45</v>
      </c>
      <c r="F361" s="98">
        <v>7</v>
      </c>
      <c r="G361" s="46">
        <v>28000</v>
      </c>
      <c r="H361" s="45">
        <v>0.8</v>
      </c>
      <c r="I361" s="31">
        <v>1.1479999999999999</v>
      </c>
      <c r="J361" s="223">
        <f t="shared" si="45"/>
        <v>180000</v>
      </c>
      <c r="K361" s="32">
        <f t="shared" si="46"/>
        <v>180000</v>
      </c>
      <c r="L361" s="261">
        <f t="shared" si="44"/>
        <v>0</v>
      </c>
      <c r="M361" s="14"/>
    </row>
    <row r="362" spans="1:13" ht="39" customHeight="1" x14ac:dyDescent="0.3">
      <c r="A362" s="69"/>
      <c r="B362" s="8"/>
      <c r="C362" s="82" t="s">
        <v>96</v>
      </c>
      <c r="D362" s="270" t="s">
        <v>97</v>
      </c>
      <c r="E362" s="71" t="s">
        <v>98</v>
      </c>
      <c r="F362" s="103">
        <v>1</v>
      </c>
      <c r="G362" s="36">
        <v>226000</v>
      </c>
      <c r="H362" s="45">
        <v>0.8</v>
      </c>
      <c r="I362" s="31">
        <v>1.1479999999999999</v>
      </c>
      <c r="J362" s="223">
        <f t="shared" si="45"/>
        <v>208000</v>
      </c>
      <c r="K362" s="32">
        <f t="shared" si="46"/>
        <v>208000</v>
      </c>
      <c r="L362" s="261">
        <f t="shared" si="44"/>
        <v>0</v>
      </c>
      <c r="M362" s="14"/>
    </row>
    <row r="363" spans="1:13" ht="56.25" customHeight="1" x14ac:dyDescent="0.3">
      <c r="A363" s="149">
        <v>14</v>
      </c>
      <c r="B363" s="150" t="s">
        <v>19</v>
      </c>
      <c r="C363" s="455" t="s">
        <v>1087</v>
      </c>
      <c r="D363" s="456"/>
      <c r="E363" s="456"/>
      <c r="F363" s="456"/>
      <c r="G363" s="456"/>
      <c r="H363" s="456"/>
      <c r="I363" s="457"/>
      <c r="J363" s="221">
        <f>SUM(J364)</f>
        <v>0</v>
      </c>
      <c r="K363" s="32">
        <f t="shared" si="46"/>
        <v>0</v>
      </c>
      <c r="L363" s="261">
        <f t="shared" si="44"/>
        <v>0</v>
      </c>
      <c r="M363" s="24"/>
    </row>
    <row r="364" spans="1:13" ht="90" customHeight="1" x14ac:dyDescent="0.25">
      <c r="A364" s="67"/>
      <c r="B364" s="68"/>
      <c r="C364" s="25" t="s">
        <v>1062</v>
      </c>
      <c r="D364" s="267" t="s">
        <v>112</v>
      </c>
      <c r="E364" s="27" t="s">
        <v>23</v>
      </c>
      <c r="F364" s="35">
        <v>324.89999999999998</v>
      </c>
      <c r="G364" s="464" t="s">
        <v>1063</v>
      </c>
      <c r="H364" s="464"/>
      <c r="I364" s="465"/>
      <c r="J364" s="227"/>
      <c r="K364" s="32"/>
      <c r="L364" s="261">
        <f t="shared" si="44"/>
        <v>0</v>
      </c>
      <c r="M364" s="288">
        <v>321.39999999999998</v>
      </c>
    </row>
    <row r="365" spans="1:13" s="289" customFormat="1" ht="56.25" customHeight="1" x14ac:dyDescent="0.3">
      <c r="A365" s="149">
        <v>15</v>
      </c>
      <c r="B365" s="150" t="s">
        <v>19</v>
      </c>
      <c r="C365" s="455" t="s">
        <v>1088</v>
      </c>
      <c r="D365" s="456"/>
      <c r="E365" s="456"/>
      <c r="F365" s="456"/>
      <c r="G365" s="456"/>
      <c r="H365" s="456"/>
      <c r="I365" s="457"/>
      <c r="J365" s="221">
        <f>SUM(J366:J393)</f>
        <v>922918000</v>
      </c>
      <c r="K365" s="32">
        <f>ROUND(G365*H365*I365*F365,-3)</f>
        <v>0</v>
      </c>
      <c r="L365" s="261">
        <f t="shared" si="44"/>
        <v>922918000</v>
      </c>
      <c r="M365" s="24"/>
    </row>
    <row r="366" spans="1:13" ht="27" customHeight="1" x14ac:dyDescent="0.3">
      <c r="A366" s="69"/>
      <c r="B366" s="8"/>
      <c r="C366" s="433" t="s">
        <v>1089</v>
      </c>
      <c r="D366" s="434"/>
      <c r="E366" s="434"/>
      <c r="F366" s="466"/>
      <c r="G366" s="434"/>
      <c r="H366" s="434"/>
      <c r="I366" s="467"/>
      <c r="J366" s="223"/>
      <c r="K366" s="32">
        <f t="shared" ref="K366:K400" si="47">ROUND(G366*H366*I366*F366,-3)</f>
        <v>0</v>
      </c>
      <c r="L366" s="261">
        <f t="shared" si="44"/>
        <v>0</v>
      </c>
      <c r="M366" s="14"/>
    </row>
    <row r="367" spans="1:13" ht="83.25" customHeight="1" x14ac:dyDescent="0.3">
      <c r="A367" s="69"/>
      <c r="B367" s="8"/>
      <c r="C367" s="82" t="s">
        <v>822</v>
      </c>
      <c r="D367" s="269" t="s">
        <v>435</v>
      </c>
      <c r="E367" s="27" t="s">
        <v>23</v>
      </c>
      <c r="F367" s="72">
        <f>8.7*4.27</f>
        <v>37.148999999999994</v>
      </c>
      <c r="G367" s="29">
        <v>3371000</v>
      </c>
      <c r="H367" s="45">
        <v>0.8</v>
      </c>
      <c r="I367" s="102">
        <v>1.1479999999999999</v>
      </c>
      <c r="J367" s="223">
        <f t="shared" ref="J367:J393" si="48">ROUND(F367*G367*H367*I367,-3)</f>
        <v>115011000</v>
      </c>
      <c r="K367" s="32">
        <f t="shared" si="47"/>
        <v>115011000</v>
      </c>
      <c r="L367" s="261">
        <f t="shared" si="44"/>
        <v>0</v>
      </c>
      <c r="M367" s="14"/>
    </row>
    <row r="368" spans="1:13" ht="38.25" x14ac:dyDescent="0.3">
      <c r="A368" s="69"/>
      <c r="B368" s="8"/>
      <c r="C368" s="82" t="s">
        <v>409</v>
      </c>
      <c r="D368" s="270" t="s">
        <v>80</v>
      </c>
      <c r="E368" s="71" t="s">
        <v>23</v>
      </c>
      <c r="F368" s="72">
        <f>8.4*3.9</f>
        <v>32.76</v>
      </c>
      <c r="G368" s="29">
        <v>385000</v>
      </c>
      <c r="H368" s="45">
        <v>0.8</v>
      </c>
      <c r="I368" s="31">
        <v>1.1479999999999999</v>
      </c>
      <c r="J368" s="223">
        <f t="shared" si="48"/>
        <v>11583000</v>
      </c>
      <c r="K368" s="32">
        <f t="shared" si="47"/>
        <v>11583000</v>
      </c>
      <c r="L368" s="261">
        <f t="shared" si="44"/>
        <v>0</v>
      </c>
      <c r="M368" s="14"/>
    </row>
    <row r="369" spans="1:13" ht="38.25" x14ac:dyDescent="0.3">
      <c r="A369" s="69"/>
      <c r="B369" s="8"/>
      <c r="C369" s="82" t="s">
        <v>1044</v>
      </c>
      <c r="D369" s="271" t="s">
        <v>32</v>
      </c>
      <c r="E369" s="96" t="s">
        <v>91</v>
      </c>
      <c r="F369" s="72">
        <f>3.97*4.1</f>
        <v>16.277000000000001</v>
      </c>
      <c r="G369" s="29">
        <v>215000</v>
      </c>
      <c r="H369" s="45">
        <v>0.8</v>
      </c>
      <c r="I369" s="79">
        <v>1.1479999999999999</v>
      </c>
      <c r="J369" s="223">
        <f t="shared" si="48"/>
        <v>3214000</v>
      </c>
      <c r="K369" s="32">
        <f t="shared" si="47"/>
        <v>3214000</v>
      </c>
      <c r="L369" s="261">
        <f t="shared" si="44"/>
        <v>0</v>
      </c>
      <c r="M369" s="158"/>
    </row>
    <row r="370" spans="1:13" ht="36.75" customHeight="1" x14ac:dyDescent="0.3">
      <c r="A370" s="69"/>
      <c r="B370" s="8"/>
      <c r="C370" s="82" t="s">
        <v>410</v>
      </c>
      <c r="D370" s="270" t="s">
        <v>66</v>
      </c>
      <c r="E370" s="27" t="s">
        <v>23</v>
      </c>
      <c r="F370" s="72">
        <f>0.9*1.1+0.9*2.1</f>
        <v>2.8800000000000003</v>
      </c>
      <c r="G370" s="29">
        <v>339000</v>
      </c>
      <c r="H370" s="45">
        <v>0.8</v>
      </c>
      <c r="I370" s="31">
        <v>1.1479999999999999</v>
      </c>
      <c r="J370" s="223">
        <f t="shared" si="48"/>
        <v>897000</v>
      </c>
      <c r="K370" s="32">
        <f t="shared" si="47"/>
        <v>897000</v>
      </c>
      <c r="L370" s="261">
        <f t="shared" si="44"/>
        <v>0</v>
      </c>
      <c r="M370" s="14"/>
    </row>
    <row r="371" spans="1:13" ht="36.75" customHeight="1" x14ac:dyDescent="0.3">
      <c r="A371" s="69"/>
      <c r="B371" s="8"/>
      <c r="C371" s="82" t="s">
        <v>411</v>
      </c>
      <c r="D371" s="270" t="s">
        <v>28</v>
      </c>
      <c r="E371" s="27" t="s">
        <v>23</v>
      </c>
      <c r="F371" s="72">
        <f>(1.4*3.5)*2</f>
        <v>9.7999999999999989</v>
      </c>
      <c r="G371" s="11">
        <v>396000</v>
      </c>
      <c r="H371" s="45">
        <v>0.8</v>
      </c>
      <c r="I371" s="31">
        <v>1.1479999999999999</v>
      </c>
      <c r="J371" s="223">
        <f t="shared" si="48"/>
        <v>3564000</v>
      </c>
      <c r="K371" s="32">
        <f t="shared" si="47"/>
        <v>3564000</v>
      </c>
      <c r="L371" s="261">
        <f t="shared" si="44"/>
        <v>0</v>
      </c>
      <c r="M371" s="14"/>
    </row>
    <row r="372" spans="1:13" ht="36.75" customHeight="1" x14ac:dyDescent="0.3">
      <c r="A372" s="69"/>
      <c r="B372" s="8"/>
      <c r="C372" s="82" t="s">
        <v>108</v>
      </c>
      <c r="D372" s="276" t="s">
        <v>41</v>
      </c>
      <c r="E372" s="59" t="s">
        <v>42</v>
      </c>
      <c r="F372" s="98">
        <v>10</v>
      </c>
      <c r="G372" s="11">
        <v>5330</v>
      </c>
      <c r="H372" s="60">
        <v>1</v>
      </c>
      <c r="I372" s="61">
        <v>1</v>
      </c>
      <c r="J372" s="223">
        <f t="shared" si="48"/>
        <v>53000</v>
      </c>
      <c r="K372" s="32">
        <f t="shared" si="47"/>
        <v>53000</v>
      </c>
      <c r="L372" s="261">
        <f t="shared" si="44"/>
        <v>0</v>
      </c>
      <c r="M372" s="14"/>
    </row>
    <row r="373" spans="1:13" ht="38.25" x14ac:dyDescent="0.3">
      <c r="A373" s="69"/>
      <c r="B373" s="8"/>
      <c r="C373" s="82" t="s">
        <v>412</v>
      </c>
      <c r="D373" s="267" t="s">
        <v>24</v>
      </c>
      <c r="E373" s="8" t="s">
        <v>25</v>
      </c>
      <c r="F373" s="72">
        <f>(0.5*8.7*0.05)</f>
        <v>0.2175</v>
      </c>
      <c r="G373" s="29">
        <v>2828000</v>
      </c>
      <c r="H373" s="45">
        <v>0.8</v>
      </c>
      <c r="I373" s="31">
        <v>1.1479999999999999</v>
      </c>
      <c r="J373" s="223">
        <f t="shared" si="48"/>
        <v>565000</v>
      </c>
      <c r="K373" s="32">
        <f t="shared" si="47"/>
        <v>565000</v>
      </c>
      <c r="L373" s="261">
        <f t="shared" si="44"/>
        <v>0</v>
      </c>
      <c r="M373" s="14"/>
    </row>
    <row r="374" spans="1:13" ht="37.5" x14ac:dyDescent="0.3">
      <c r="A374" s="69"/>
      <c r="B374" s="8"/>
      <c r="C374" s="82" t="s">
        <v>831</v>
      </c>
      <c r="D374" s="270" t="s">
        <v>51</v>
      </c>
      <c r="E374" s="27" t="s">
        <v>23</v>
      </c>
      <c r="F374" s="72">
        <f>4.27*0.5</f>
        <v>2.1349999999999998</v>
      </c>
      <c r="G374" s="29">
        <v>453000</v>
      </c>
      <c r="H374" s="45">
        <v>0.8</v>
      </c>
      <c r="I374" s="31">
        <v>1.1479999999999999</v>
      </c>
      <c r="J374" s="223">
        <f t="shared" si="48"/>
        <v>888000</v>
      </c>
      <c r="K374" s="32">
        <f t="shared" si="47"/>
        <v>888000</v>
      </c>
      <c r="L374" s="261">
        <f t="shared" si="44"/>
        <v>0</v>
      </c>
      <c r="M374" s="14"/>
    </row>
    <row r="375" spans="1:13" ht="25.5" x14ac:dyDescent="0.3">
      <c r="A375" s="69"/>
      <c r="B375" s="8"/>
      <c r="C375" s="82" t="s">
        <v>413</v>
      </c>
      <c r="D375" s="280" t="s">
        <v>92</v>
      </c>
      <c r="E375" s="27" t="s">
        <v>35</v>
      </c>
      <c r="F375" s="98">
        <v>1</v>
      </c>
      <c r="G375" s="29">
        <v>28120</v>
      </c>
      <c r="H375" s="50">
        <v>1</v>
      </c>
      <c r="I375" s="51">
        <v>1</v>
      </c>
      <c r="J375" s="223">
        <f t="shared" si="48"/>
        <v>28000</v>
      </c>
      <c r="K375" s="32">
        <f t="shared" si="47"/>
        <v>28000</v>
      </c>
      <c r="L375" s="261">
        <f t="shared" si="44"/>
        <v>0</v>
      </c>
      <c r="M375" s="14"/>
    </row>
    <row r="376" spans="1:13" ht="25.5" x14ac:dyDescent="0.3">
      <c r="A376" s="69"/>
      <c r="B376" s="8"/>
      <c r="C376" s="82" t="s">
        <v>414</v>
      </c>
      <c r="D376" s="271" t="s">
        <v>864</v>
      </c>
      <c r="E376" s="27" t="s">
        <v>35</v>
      </c>
      <c r="F376" s="98">
        <v>1</v>
      </c>
      <c r="G376" s="29">
        <v>44990</v>
      </c>
      <c r="H376" s="50">
        <v>1</v>
      </c>
      <c r="I376" s="51">
        <v>1</v>
      </c>
      <c r="J376" s="223">
        <f t="shared" si="48"/>
        <v>45000</v>
      </c>
      <c r="K376" s="32">
        <f t="shared" si="47"/>
        <v>45000</v>
      </c>
      <c r="L376" s="261">
        <f t="shared" si="44"/>
        <v>0</v>
      </c>
      <c r="M376" s="14"/>
    </row>
    <row r="377" spans="1:13" ht="56.25" x14ac:dyDescent="0.3">
      <c r="A377" s="69"/>
      <c r="B377" s="8"/>
      <c r="C377" s="82" t="s">
        <v>1092</v>
      </c>
      <c r="D377" s="274"/>
      <c r="E377" s="27"/>
      <c r="F377" s="75"/>
      <c r="G377" s="29"/>
      <c r="H377" s="45"/>
      <c r="I377" s="102"/>
      <c r="J377" s="223"/>
      <c r="K377" s="32"/>
      <c r="L377" s="261">
        <f t="shared" si="44"/>
        <v>0</v>
      </c>
      <c r="M377" s="14"/>
    </row>
    <row r="378" spans="1:13" s="289" customFormat="1" ht="30.75" customHeight="1" x14ac:dyDescent="0.3">
      <c r="A378" s="69"/>
      <c r="B378" s="8"/>
      <c r="C378" s="82" t="s">
        <v>1093</v>
      </c>
      <c r="D378" s="274" t="s">
        <v>87</v>
      </c>
      <c r="E378" s="27" t="s">
        <v>23</v>
      </c>
      <c r="F378" s="75">
        <f>7.1*5.2+7.1*5.2</f>
        <v>73.84</v>
      </c>
      <c r="G378" s="29">
        <f>5339000</f>
        <v>5339000</v>
      </c>
      <c r="H378" s="45">
        <v>0.8</v>
      </c>
      <c r="I378" s="102">
        <v>1.1479999999999999</v>
      </c>
      <c r="J378" s="223">
        <f>ROUND(F378*G378*H378*I378,-3)</f>
        <v>362062000</v>
      </c>
      <c r="K378" s="32">
        <f>ROUND(G378*H378*I378*F378,-3)</f>
        <v>362062000</v>
      </c>
      <c r="L378" s="261">
        <f t="shared" si="44"/>
        <v>0</v>
      </c>
      <c r="M378" s="14"/>
    </row>
    <row r="379" spans="1:13" s="289" customFormat="1" ht="37.5" x14ac:dyDescent="0.3">
      <c r="A379" s="69"/>
      <c r="B379" s="8"/>
      <c r="C379" s="82" t="s">
        <v>1094</v>
      </c>
      <c r="D379" s="274" t="s">
        <v>87</v>
      </c>
      <c r="E379" s="27" t="s">
        <v>23</v>
      </c>
      <c r="F379" s="75">
        <f>7.1*5.2+7.1*5.2</f>
        <v>73.84</v>
      </c>
      <c r="G379" s="29">
        <f>5339000-99000</f>
        <v>5240000</v>
      </c>
      <c r="H379" s="45">
        <v>0.8</v>
      </c>
      <c r="I379" s="102">
        <v>1.1479999999999999</v>
      </c>
      <c r="J379" s="223">
        <f>ROUND(F379*G379*H379*I379,-3)</f>
        <v>355349000</v>
      </c>
      <c r="K379" s="32">
        <f>ROUND(G379*H379*I379*F379,-3)</f>
        <v>355349000</v>
      </c>
      <c r="L379" s="261">
        <f t="shared" si="44"/>
        <v>0</v>
      </c>
      <c r="M379" s="14"/>
    </row>
    <row r="380" spans="1:13" s="169" customFormat="1" ht="25.5" x14ac:dyDescent="0.3">
      <c r="A380" s="93"/>
      <c r="B380" s="94"/>
      <c r="C380" s="70" t="s">
        <v>1090</v>
      </c>
      <c r="D380" s="274" t="s">
        <v>87</v>
      </c>
      <c r="E380" s="22" t="s">
        <v>25</v>
      </c>
      <c r="F380" s="199">
        <f>0.8*5.2*0.1</f>
        <v>0.41600000000000004</v>
      </c>
      <c r="G380" s="29">
        <f>5339000-99000</f>
        <v>5240000</v>
      </c>
      <c r="H380" s="45">
        <v>0.8</v>
      </c>
      <c r="I380" s="102">
        <v>1.1479999999999999</v>
      </c>
      <c r="J380" s="223">
        <f t="shared" si="48"/>
        <v>2002000</v>
      </c>
      <c r="K380" s="32">
        <f t="shared" si="47"/>
        <v>2002000</v>
      </c>
      <c r="L380" s="261">
        <f t="shared" si="44"/>
        <v>0</v>
      </c>
      <c r="M380" s="24"/>
    </row>
    <row r="381" spans="1:13" s="169" customFormat="1" ht="37.5" x14ac:dyDescent="0.3">
      <c r="A381" s="93"/>
      <c r="B381" s="94"/>
      <c r="C381" s="70" t="s">
        <v>1091</v>
      </c>
      <c r="D381" s="274" t="s">
        <v>87</v>
      </c>
      <c r="E381" s="22" t="s">
        <v>25</v>
      </c>
      <c r="F381" s="199">
        <f>0.8*5.2*0.1+0.5*0.1*7.9</f>
        <v>0.81100000000000005</v>
      </c>
      <c r="G381" s="29">
        <f>5339000-99000</f>
        <v>5240000</v>
      </c>
      <c r="H381" s="45">
        <v>0.8</v>
      </c>
      <c r="I381" s="102">
        <v>1.1479999999999999</v>
      </c>
      <c r="J381" s="223">
        <f>ROUND(F381*G381*H381*I381,-3)</f>
        <v>3903000</v>
      </c>
      <c r="K381" s="32">
        <f>ROUND(G381*H381*I381*F381,-3)</f>
        <v>3903000</v>
      </c>
      <c r="L381" s="261">
        <f t="shared" si="44"/>
        <v>0</v>
      </c>
      <c r="M381" s="24"/>
    </row>
    <row r="382" spans="1:13" ht="36" customHeight="1" x14ac:dyDescent="0.3">
      <c r="A382" s="69"/>
      <c r="B382" s="8"/>
      <c r="C382" s="82" t="s">
        <v>415</v>
      </c>
      <c r="D382" s="270" t="s">
        <v>52</v>
      </c>
      <c r="E382" s="71" t="s">
        <v>23</v>
      </c>
      <c r="F382" s="72">
        <f>(6.7*4.8)*2</f>
        <v>64.319999999999993</v>
      </c>
      <c r="G382" s="11" t="s">
        <v>53</v>
      </c>
      <c r="H382" s="45">
        <v>0.8</v>
      </c>
      <c r="I382" s="31">
        <v>1.1479999999999999</v>
      </c>
      <c r="J382" s="223">
        <f t="shared" si="48"/>
        <v>13941000</v>
      </c>
      <c r="K382" s="32">
        <f t="shared" si="47"/>
        <v>13941000</v>
      </c>
      <c r="L382" s="261">
        <f t="shared" si="44"/>
        <v>0</v>
      </c>
      <c r="M382" s="14"/>
    </row>
    <row r="383" spans="1:13" ht="36" customHeight="1" x14ac:dyDescent="0.3">
      <c r="A383" s="69"/>
      <c r="B383" s="8"/>
      <c r="C383" s="82" t="s">
        <v>416</v>
      </c>
      <c r="D383" s="270" t="s">
        <v>66</v>
      </c>
      <c r="E383" s="27" t="s">
        <v>23</v>
      </c>
      <c r="F383" s="72">
        <f>2.6*12.5</f>
        <v>32.5</v>
      </c>
      <c r="G383" s="29">
        <v>339000</v>
      </c>
      <c r="H383" s="45">
        <v>0.8</v>
      </c>
      <c r="I383" s="31">
        <v>1.1479999999999999</v>
      </c>
      <c r="J383" s="223">
        <f t="shared" si="48"/>
        <v>10118000</v>
      </c>
      <c r="K383" s="32">
        <f t="shared" si="47"/>
        <v>10118000</v>
      </c>
      <c r="L383" s="261">
        <f t="shared" si="44"/>
        <v>0</v>
      </c>
      <c r="M383" s="14"/>
    </row>
    <row r="384" spans="1:13" ht="36" customHeight="1" x14ac:dyDescent="0.3">
      <c r="A384" s="69"/>
      <c r="B384" s="8"/>
      <c r="C384" s="82" t="s">
        <v>417</v>
      </c>
      <c r="D384" s="270" t="s">
        <v>66</v>
      </c>
      <c r="E384" s="27" t="s">
        <v>23</v>
      </c>
      <c r="F384" s="89">
        <f>3.4*16.25</f>
        <v>55.25</v>
      </c>
      <c r="G384" s="29">
        <v>339000</v>
      </c>
      <c r="H384" s="45">
        <v>0.8</v>
      </c>
      <c r="I384" s="102">
        <v>1.1479999999999999</v>
      </c>
      <c r="J384" s="223">
        <f t="shared" si="48"/>
        <v>17201000</v>
      </c>
      <c r="K384" s="32">
        <f t="shared" si="47"/>
        <v>17201000</v>
      </c>
      <c r="L384" s="261">
        <f t="shared" si="44"/>
        <v>0</v>
      </c>
      <c r="M384" s="14"/>
    </row>
    <row r="385" spans="1:13" ht="36" customHeight="1" x14ac:dyDescent="0.3">
      <c r="A385" s="69"/>
      <c r="B385" s="8"/>
      <c r="C385" s="82" t="s">
        <v>37</v>
      </c>
      <c r="D385" s="278" t="s">
        <v>38</v>
      </c>
      <c r="E385" s="141" t="s">
        <v>39</v>
      </c>
      <c r="F385" s="98">
        <v>1</v>
      </c>
      <c r="G385" s="145">
        <v>1018000</v>
      </c>
      <c r="H385" s="45">
        <v>0.8</v>
      </c>
      <c r="I385" s="146">
        <v>1.1479999999999999</v>
      </c>
      <c r="J385" s="226">
        <f t="shared" si="48"/>
        <v>935000</v>
      </c>
      <c r="K385" s="32">
        <f t="shared" si="47"/>
        <v>935000</v>
      </c>
      <c r="L385" s="261">
        <f t="shared" si="44"/>
        <v>0</v>
      </c>
      <c r="M385" s="14"/>
    </row>
    <row r="386" spans="1:13" ht="36" customHeight="1" x14ac:dyDescent="0.3">
      <c r="A386" s="69"/>
      <c r="B386" s="8"/>
      <c r="C386" s="82" t="s">
        <v>832</v>
      </c>
      <c r="D386" s="270" t="s">
        <v>51</v>
      </c>
      <c r="E386" s="27" t="s">
        <v>23</v>
      </c>
      <c r="F386" s="72">
        <f>3.15*5.2</f>
        <v>16.38</v>
      </c>
      <c r="G386" s="29">
        <v>453000</v>
      </c>
      <c r="H386" s="45">
        <v>0.8</v>
      </c>
      <c r="I386" s="31">
        <v>1.1479999999999999</v>
      </c>
      <c r="J386" s="223">
        <f t="shared" si="48"/>
        <v>6815000</v>
      </c>
      <c r="K386" s="32">
        <f t="shared" si="47"/>
        <v>6815000</v>
      </c>
      <c r="L386" s="261">
        <f t="shared" si="44"/>
        <v>0</v>
      </c>
      <c r="M386" s="14"/>
    </row>
    <row r="387" spans="1:13" ht="36" customHeight="1" x14ac:dyDescent="0.3">
      <c r="A387" s="69"/>
      <c r="B387" s="8"/>
      <c r="C387" s="82" t="s">
        <v>418</v>
      </c>
      <c r="D387" s="270" t="s">
        <v>66</v>
      </c>
      <c r="E387" s="27" t="s">
        <v>23</v>
      </c>
      <c r="F387" s="89">
        <f>0.5*3</f>
        <v>1.5</v>
      </c>
      <c r="G387" s="29">
        <v>339000</v>
      </c>
      <c r="H387" s="45">
        <v>0.8</v>
      </c>
      <c r="I387" s="31">
        <v>1.1479999999999999</v>
      </c>
      <c r="J387" s="223">
        <f t="shared" si="48"/>
        <v>467000</v>
      </c>
      <c r="K387" s="32">
        <f t="shared" si="47"/>
        <v>467000</v>
      </c>
      <c r="L387" s="261">
        <f t="shared" si="44"/>
        <v>0</v>
      </c>
      <c r="M387" s="14"/>
    </row>
    <row r="388" spans="1:13" ht="36" customHeight="1" x14ac:dyDescent="0.3">
      <c r="A388" s="69"/>
      <c r="B388" s="8"/>
      <c r="C388" s="82" t="s">
        <v>419</v>
      </c>
      <c r="D388" s="270" t="s">
        <v>29</v>
      </c>
      <c r="E388" s="27" t="s">
        <v>23</v>
      </c>
      <c r="F388" s="89">
        <f>3*2.5</f>
        <v>7.5</v>
      </c>
      <c r="G388" s="29">
        <v>792000</v>
      </c>
      <c r="H388" s="45">
        <v>0.8</v>
      </c>
      <c r="I388" s="31">
        <v>1.1479999999999999</v>
      </c>
      <c r="J388" s="223">
        <f t="shared" si="48"/>
        <v>5455000</v>
      </c>
      <c r="K388" s="32">
        <f t="shared" si="47"/>
        <v>5455000</v>
      </c>
      <c r="L388" s="261">
        <f t="shared" si="44"/>
        <v>0</v>
      </c>
      <c r="M388" s="14"/>
    </row>
    <row r="389" spans="1:13" ht="36" customHeight="1" x14ac:dyDescent="0.3">
      <c r="A389" s="69"/>
      <c r="B389" s="8"/>
      <c r="C389" s="82" t="s">
        <v>420</v>
      </c>
      <c r="D389" s="271" t="s">
        <v>32</v>
      </c>
      <c r="E389" s="96" t="s">
        <v>91</v>
      </c>
      <c r="F389" s="72">
        <f>4.9*3.97</f>
        <v>19.453000000000003</v>
      </c>
      <c r="G389" s="29">
        <v>215000</v>
      </c>
      <c r="H389" s="45">
        <v>0.8</v>
      </c>
      <c r="I389" s="79">
        <v>1.1479999999999999</v>
      </c>
      <c r="J389" s="223">
        <f t="shared" si="48"/>
        <v>3841000</v>
      </c>
      <c r="K389" s="32">
        <f t="shared" si="47"/>
        <v>3841000</v>
      </c>
      <c r="L389" s="261">
        <f t="shared" si="44"/>
        <v>0</v>
      </c>
      <c r="M389" s="158"/>
    </row>
    <row r="390" spans="1:13" ht="37.5" x14ac:dyDescent="0.3">
      <c r="A390" s="69"/>
      <c r="B390" s="8"/>
      <c r="C390" s="82" t="s">
        <v>421</v>
      </c>
      <c r="D390" s="270" t="s">
        <v>101</v>
      </c>
      <c r="E390" s="71" t="s">
        <v>23</v>
      </c>
      <c r="F390" s="72">
        <f>4.8*2.85</f>
        <v>13.68</v>
      </c>
      <c r="G390" s="29">
        <v>339000</v>
      </c>
      <c r="H390" s="45">
        <v>0.8</v>
      </c>
      <c r="I390" s="31">
        <v>1.1479999999999999</v>
      </c>
      <c r="J390" s="223">
        <f t="shared" si="48"/>
        <v>4259000</v>
      </c>
      <c r="K390" s="32">
        <f t="shared" si="47"/>
        <v>4259000</v>
      </c>
      <c r="L390" s="261">
        <f t="shared" si="44"/>
        <v>0</v>
      </c>
      <c r="M390" s="14"/>
    </row>
    <row r="391" spans="1:13" ht="38.25" x14ac:dyDescent="0.3">
      <c r="A391" s="69"/>
      <c r="B391" s="8"/>
      <c r="C391" s="82" t="s">
        <v>422</v>
      </c>
      <c r="D391" s="273" t="s">
        <v>44</v>
      </c>
      <c r="E391" s="63" t="s">
        <v>45</v>
      </c>
      <c r="F391" s="72">
        <v>10</v>
      </c>
      <c r="G391" s="46">
        <v>28000</v>
      </c>
      <c r="H391" s="45">
        <v>0.8</v>
      </c>
      <c r="I391" s="31">
        <v>1.1479999999999999</v>
      </c>
      <c r="J391" s="223">
        <f t="shared" si="48"/>
        <v>257000</v>
      </c>
      <c r="K391" s="32">
        <f t="shared" si="47"/>
        <v>257000</v>
      </c>
      <c r="L391" s="261">
        <f t="shared" si="44"/>
        <v>0</v>
      </c>
      <c r="M391" s="14"/>
    </row>
    <row r="392" spans="1:13" ht="38.25" x14ac:dyDescent="0.3">
      <c r="A392" s="69"/>
      <c r="B392" s="8"/>
      <c r="C392" s="82" t="s">
        <v>111</v>
      </c>
      <c r="D392" s="271" t="s">
        <v>47</v>
      </c>
      <c r="E392" s="63" t="s">
        <v>45</v>
      </c>
      <c r="F392" s="77">
        <v>10</v>
      </c>
      <c r="G392" s="46">
        <v>28000</v>
      </c>
      <c r="H392" s="45">
        <v>0.8</v>
      </c>
      <c r="I392" s="31">
        <v>1.1479999999999999</v>
      </c>
      <c r="J392" s="223">
        <f t="shared" si="48"/>
        <v>257000</v>
      </c>
      <c r="K392" s="32">
        <f t="shared" si="47"/>
        <v>257000</v>
      </c>
      <c r="L392" s="261">
        <f t="shared" si="44"/>
        <v>0</v>
      </c>
      <c r="M392" s="14"/>
    </row>
    <row r="393" spans="1:13" ht="38.25" customHeight="1" x14ac:dyDescent="0.3">
      <c r="A393" s="69"/>
      <c r="B393" s="8"/>
      <c r="C393" s="82" t="s">
        <v>96</v>
      </c>
      <c r="D393" s="270" t="s">
        <v>97</v>
      </c>
      <c r="E393" s="71" t="s">
        <v>98</v>
      </c>
      <c r="F393" s="103">
        <v>1</v>
      </c>
      <c r="G393" s="36">
        <v>226000</v>
      </c>
      <c r="H393" s="45">
        <v>0.8</v>
      </c>
      <c r="I393" s="31">
        <v>1.1479999999999999</v>
      </c>
      <c r="J393" s="223">
        <f t="shared" si="48"/>
        <v>208000</v>
      </c>
      <c r="K393" s="32">
        <f t="shared" si="47"/>
        <v>208000</v>
      </c>
      <c r="L393" s="261">
        <f t="shared" si="44"/>
        <v>0</v>
      </c>
      <c r="M393" s="14"/>
    </row>
    <row r="394" spans="1:13" ht="45.75" customHeight="1" x14ac:dyDescent="0.3">
      <c r="A394" s="149">
        <v>16</v>
      </c>
      <c r="B394" s="150" t="s">
        <v>19</v>
      </c>
      <c r="C394" s="455" t="s">
        <v>1095</v>
      </c>
      <c r="D394" s="456"/>
      <c r="E394" s="456"/>
      <c r="F394" s="456"/>
      <c r="G394" s="456"/>
      <c r="H394" s="456"/>
      <c r="I394" s="457"/>
      <c r="J394" s="221">
        <f>SUM(J395:J410)</f>
        <v>306573000</v>
      </c>
      <c r="K394" s="32">
        <f t="shared" si="47"/>
        <v>0</v>
      </c>
      <c r="L394" s="261">
        <f t="shared" si="44"/>
        <v>306573000</v>
      </c>
      <c r="M394" s="24"/>
    </row>
    <row r="395" spans="1:13" s="289" customFormat="1" ht="27" customHeight="1" x14ac:dyDescent="0.3">
      <c r="A395" s="69"/>
      <c r="B395" s="8"/>
      <c r="C395" s="433" t="s">
        <v>1089</v>
      </c>
      <c r="D395" s="434"/>
      <c r="E395" s="434"/>
      <c r="F395" s="466"/>
      <c r="G395" s="434"/>
      <c r="H395" s="434"/>
      <c r="I395" s="467"/>
      <c r="J395" s="223"/>
      <c r="K395" s="32">
        <f>ROUND(G395*H395*I395*F395,-3)</f>
        <v>0</v>
      </c>
      <c r="L395" s="261">
        <f t="shared" si="44"/>
        <v>0</v>
      </c>
      <c r="M395" s="14"/>
    </row>
    <row r="396" spans="1:13" ht="72" customHeight="1" x14ac:dyDescent="0.3">
      <c r="A396" s="69"/>
      <c r="B396" s="8"/>
      <c r="C396" s="82" t="s">
        <v>423</v>
      </c>
      <c r="D396" s="274" t="s">
        <v>148</v>
      </c>
      <c r="E396" s="27" t="s">
        <v>23</v>
      </c>
      <c r="F396" s="75">
        <f>7.1*5.1+3.6*1.3</f>
        <v>40.889999999999993</v>
      </c>
      <c r="G396" s="29">
        <v>3564000</v>
      </c>
      <c r="H396" s="45">
        <v>0.8</v>
      </c>
      <c r="I396" s="102">
        <v>1.1479999999999999</v>
      </c>
      <c r="J396" s="223">
        <f t="shared" ref="J396:J410" si="49">ROUND(F396*G396*H396*I396,-3)</f>
        <v>133840000</v>
      </c>
      <c r="K396" s="32">
        <f t="shared" si="47"/>
        <v>133840000</v>
      </c>
      <c r="L396" s="261">
        <f t="shared" si="44"/>
        <v>0</v>
      </c>
      <c r="M396" s="14"/>
    </row>
    <row r="397" spans="1:13" ht="72" customHeight="1" x14ac:dyDescent="0.3">
      <c r="A397" s="69"/>
      <c r="B397" s="8"/>
      <c r="C397" s="82" t="s">
        <v>424</v>
      </c>
      <c r="D397" s="274" t="s">
        <v>148</v>
      </c>
      <c r="E397" s="27" t="s">
        <v>23</v>
      </c>
      <c r="F397" s="89">
        <f>7*5.1+3.6*1.3</f>
        <v>40.379999999999995</v>
      </c>
      <c r="G397" s="29">
        <v>3564000</v>
      </c>
      <c r="H397" s="45">
        <v>0.8</v>
      </c>
      <c r="I397" s="102">
        <v>1.1479999999999999</v>
      </c>
      <c r="J397" s="223">
        <f t="shared" si="49"/>
        <v>132171000</v>
      </c>
      <c r="K397" s="32">
        <f t="shared" si="47"/>
        <v>132171000</v>
      </c>
      <c r="L397" s="261">
        <f t="shared" si="44"/>
        <v>0</v>
      </c>
      <c r="M397" s="14"/>
    </row>
    <row r="398" spans="1:13" ht="25.5" x14ac:dyDescent="0.3">
      <c r="A398" s="69"/>
      <c r="B398" s="8"/>
      <c r="C398" s="82" t="s">
        <v>425</v>
      </c>
      <c r="D398" s="271" t="s">
        <v>54</v>
      </c>
      <c r="E398" s="27" t="s">
        <v>23</v>
      </c>
      <c r="F398" s="72">
        <f>6.8*4.9</f>
        <v>33.32</v>
      </c>
      <c r="G398" s="46">
        <v>213000</v>
      </c>
      <c r="H398" s="45">
        <v>0.8</v>
      </c>
      <c r="I398" s="31">
        <v>1.1479999999999999</v>
      </c>
      <c r="J398" s="223">
        <f t="shared" si="49"/>
        <v>6518000</v>
      </c>
      <c r="K398" s="32">
        <f t="shared" si="47"/>
        <v>6518000</v>
      </c>
      <c r="L398" s="261">
        <f t="shared" ref="L398:L461" si="50">J398-K398</f>
        <v>0</v>
      </c>
      <c r="M398" s="158"/>
    </row>
    <row r="399" spans="1:13" ht="38.25" x14ac:dyDescent="0.3">
      <c r="A399" s="69"/>
      <c r="B399" s="8"/>
      <c r="C399" s="82" t="s">
        <v>426</v>
      </c>
      <c r="D399" s="267" t="s">
        <v>24</v>
      </c>
      <c r="E399" s="8" t="s">
        <v>25</v>
      </c>
      <c r="F399" s="89">
        <f>5.4*0.9*0.15+(3.6*1.3*0.15)*2</f>
        <v>2.133</v>
      </c>
      <c r="G399" s="29">
        <v>2828000</v>
      </c>
      <c r="H399" s="45">
        <v>0.8</v>
      </c>
      <c r="I399" s="31">
        <v>1.1479999999999999</v>
      </c>
      <c r="J399" s="223">
        <f t="shared" si="49"/>
        <v>5540000</v>
      </c>
      <c r="K399" s="32">
        <f t="shared" si="47"/>
        <v>5540000</v>
      </c>
      <c r="L399" s="261">
        <f t="shared" si="50"/>
        <v>0</v>
      </c>
      <c r="M399" s="14"/>
    </row>
    <row r="400" spans="1:13" ht="37.5" x14ac:dyDescent="0.3">
      <c r="A400" s="69"/>
      <c r="B400" s="8"/>
      <c r="C400" s="82" t="s">
        <v>833</v>
      </c>
      <c r="D400" s="270" t="s">
        <v>51</v>
      </c>
      <c r="E400" s="27" t="s">
        <v>23</v>
      </c>
      <c r="F400" s="72">
        <f>5.4*1+3.7*5.1</f>
        <v>24.270000000000003</v>
      </c>
      <c r="G400" s="29">
        <v>453000</v>
      </c>
      <c r="H400" s="45">
        <v>0.8</v>
      </c>
      <c r="I400" s="31">
        <v>1.1479999999999999</v>
      </c>
      <c r="J400" s="223">
        <f t="shared" si="49"/>
        <v>10097000</v>
      </c>
      <c r="K400" s="32">
        <f t="shared" si="47"/>
        <v>10097000</v>
      </c>
      <c r="L400" s="261">
        <f t="shared" si="50"/>
        <v>0</v>
      </c>
      <c r="M400" s="14"/>
    </row>
    <row r="401" spans="1:13" ht="25.5" x14ac:dyDescent="0.3">
      <c r="A401" s="69"/>
      <c r="B401" s="8"/>
      <c r="C401" s="82" t="s">
        <v>427</v>
      </c>
      <c r="D401" s="270" t="s">
        <v>66</v>
      </c>
      <c r="E401" s="27" t="s">
        <v>23</v>
      </c>
      <c r="F401" s="72">
        <f>8.6*1.7+3.8*1.1+1.9*0.9</f>
        <v>20.509999999999998</v>
      </c>
      <c r="G401" s="29">
        <v>339000</v>
      </c>
      <c r="H401" s="45">
        <v>0.8</v>
      </c>
      <c r="I401" s="31">
        <v>1.1479999999999999</v>
      </c>
      <c r="J401" s="223">
        <f t="shared" si="49"/>
        <v>6386000</v>
      </c>
      <c r="K401" s="32">
        <f t="shared" ref="K401:K435" si="51">ROUND(G401*H401*I401*F401,-3)</f>
        <v>6386000</v>
      </c>
      <c r="L401" s="261">
        <f t="shared" si="50"/>
        <v>0</v>
      </c>
      <c r="M401" s="14"/>
    </row>
    <row r="402" spans="1:13" ht="39" customHeight="1" x14ac:dyDescent="0.3">
      <c r="A402" s="69"/>
      <c r="B402" s="8"/>
      <c r="C402" s="82" t="s">
        <v>428</v>
      </c>
      <c r="D402" s="270" t="s">
        <v>28</v>
      </c>
      <c r="E402" s="27" t="s">
        <v>23</v>
      </c>
      <c r="F402" s="72">
        <f>2*0.6</f>
        <v>1.2</v>
      </c>
      <c r="G402" s="11">
        <v>396000</v>
      </c>
      <c r="H402" s="45">
        <v>0.8</v>
      </c>
      <c r="I402" s="31">
        <v>1.1479999999999999</v>
      </c>
      <c r="J402" s="223">
        <f t="shared" si="49"/>
        <v>436000</v>
      </c>
      <c r="K402" s="32">
        <f t="shared" si="51"/>
        <v>436000</v>
      </c>
      <c r="L402" s="261">
        <f t="shared" si="50"/>
        <v>0</v>
      </c>
      <c r="M402" s="14"/>
    </row>
    <row r="403" spans="1:13" ht="38.25" x14ac:dyDescent="0.3">
      <c r="A403" s="69"/>
      <c r="B403" s="8"/>
      <c r="C403" s="82" t="s">
        <v>429</v>
      </c>
      <c r="D403" s="267" t="s">
        <v>24</v>
      </c>
      <c r="E403" s="8" t="s">
        <v>25</v>
      </c>
      <c r="F403" s="89">
        <f>4.8*0.6*0.15+3.5*0.7*0.15</f>
        <v>0.79949999999999988</v>
      </c>
      <c r="G403" s="29">
        <v>2828000</v>
      </c>
      <c r="H403" s="45">
        <v>0.8</v>
      </c>
      <c r="I403" s="31">
        <v>1.1479999999999999</v>
      </c>
      <c r="J403" s="223">
        <f t="shared" si="49"/>
        <v>2076000</v>
      </c>
      <c r="K403" s="32">
        <f t="shared" si="51"/>
        <v>2076000</v>
      </c>
      <c r="L403" s="261">
        <f t="shared" si="50"/>
        <v>0</v>
      </c>
      <c r="M403" s="14"/>
    </row>
    <row r="404" spans="1:13" ht="37.5" customHeight="1" x14ac:dyDescent="0.3">
      <c r="A404" s="69"/>
      <c r="B404" s="8"/>
      <c r="C404" s="82" t="s">
        <v>430</v>
      </c>
      <c r="D404" s="270" t="s">
        <v>90</v>
      </c>
      <c r="E404" s="27" t="s">
        <v>23</v>
      </c>
      <c r="F404" s="75">
        <f>2.3*5.1</f>
        <v>11.729999999999999</v>
      </c>
      <c r="G404" s="29">
        <v>181000</v>
      </c>
      <c r="H404" s="45">
        <v>0.8</v>
      </c>
      <c r="I404" s="102">
        <v>1.1479999999999999</v>
      </c>
      <c r="J404" s="223">
        <f t="shared" si="49"/>
        <v>1950000</v>
      </c>
      <c r="K404" s="32">
        <f t="shared" si="51"/>
        <v>1950000</v>
      </c>
      <c r="L404" s="261">
        <f t="shared" si="50"/>
        <v>0</v>
      </c>
      <c r="M404" s="14"/>
    </row>
    <row r="405" spans="1:13" ht="38.25" x14ac:dyDescent="0.3">
      <c r="A405" s="69"/>
      <c r="B405" s="8"/>
      <c r="C405" s="82" t="s">
        <v>431</v>
      </c>
      <c r="D405" s="271" t="s">
        <v>32</v>
      </c>
      <c r="E405" s="27" t="s">
        <v>23</v>
      </c>
      <c r="F405" s="72">
        <f>4.1*5.1</f>
        <v>20.909999999999997</v>
      </c>
      <c r="G405" s="29">
        <v>215000</v>
      </c>
      <c r="H405" s="45">
        <v>0.8</v>
      </c>
      <c r="I405" s="31">
        <v>1.1479999999999999</v>
      </c>
      <c r="J405" s="223">
        <f t="shared" si="49"/>
        <v>4129000</v>
      </c>
      <c r="K405" s="32">
        <f t="shared" si="51"/>
        <v>4129000</v>
      </c>
      <c r="L405" s="261">
        <f t="shared" si="50"/>
        <v>0</v>
      </c>
      <c r="M405" s="14"/>
    </row>
    <row r="406" spans="1:13" ht="44.25" customHeight="1" x14ac:dyDescent="0.3">
      <c r="A406" s="69"/>
      <c r="B406" s="8"/>
      <c r="C406" s="82" t="s">
        <v>1096</v>
      </c>
      <c r="D406" s="270" t="s">
        <v>52</v>
      </c>
      <c r="E406" s="27" t="s">
        <v>23</v>
      </c>
      <c r="F406" s="72">
        <f>5.1*0.3</f>
        <v>1.5299999999999998</v>
      </c>
      <c r="G406" s="11" t="s">
        <v>53</v>
      </c>
      <c r="H406" s="45">
        <v>0.8</v>
      </c>
      <c r="I406" s="79">
        <v>1.1479999999999999</v>
      </c>
      <c r="J406" s="223">
        <f t="shared" si="49"/>
        <v>332000</v>
      </c>
      <c r="K406" s="32">
        <f t="shared" si="51"/>
        <v>332000</v>
      </c>
      <c r="L406" s="261">
        <f t="shared" si="50"/>
        <v>0</v>
      </c>
      <c r="M406" s="14"/>
    </row>
    <row r="407" spans="1:13" s="289" customFormat="1" ht="53.25" customHeight="1" x14ac:dyDescent="0.3">
      <c r="A407" s="69"/>
      <c r="B407" s="8"/>
      <c r="C407" s="82" t="s">
        <v>1097</v>
      </c>
      <c r="D407" s="270" t="s">
        <v>55</v>
      </c>
      <c r="E407" s="27" t="s">
        <v>23</v>
      </c>
      <c r="F407" s="72">
        <f>5.1*0.6</f>
        <v>3.0599999999999996</v>
      </c>
      <c r="G407" s="29">
        <v>905000</v>
      </c>
      <c r="H407" s="45">
        <v>0.8</v>
      </c>
      <c r="I407" s="79">
        <v>1.1479999999999999</v>
      </c>
      <c r="J407" s="223">
        <f t="shared" si="49"/>
        <v>2543000</v>
      </c>
      <c r="K407" s="32">
        <f t="shared" si="51"/>
        <v>2543000</v>
      </c>
      <c r="L407" s="261">
        <f t="shared" si="50"/>
        <v>0</v>
      </c>
      <c r="M407" s="14"/>
    </row>
    <row r="408" spans="1:13" ht="38.25" x14ac:dyDescent="0.3">
      <c r="A408" s="69"/>
      <c r="B408" s="8"/>
      <c r="C408" s="82" t="s">
        <v>432</v>
      </c>
      <c r="D408" s="273" t="s">
        <v>44</v>
      </c>
      <c r="E408" s="63" t="s">
        <v>45</v>
      </c>
      <c r="F408" s="77">
        <v>10</v>
      </c>
      <c r="G408" s="46">
        <v>28000</v>
      </c>
      <c r="H408" s="45">
        <v>0.8</v>
      </c>
      <c r="I408" s="31">
        <v>1.1479999999999999</v>
      </c>
      <c r="J408" s="223">
        <f t="shared" si="49"/>
        <v>257000</v>
      </c>
      <c r="K408" s="32">
        <f t="shared" si="51"/>
        <v>257000</v>
      </c>
      <c r="L408" s="261">
        <f t="shared" si="50"/>
        <v>0</v>
      </c>
      <c r="M408" s="14"/>
    </row>
    <row r="409" spans="1:13" ht="38.25" x14ac:dyDescent="0.3">
      <c r="A409" s="69"/>
      <c r="B409" s="8"/>
      <c r="C409" s="82" t="s">
        <v>111</v>
      </c>
      <c r="D409" s="271" t="s">
        <v>47</v>
      </c>
      <c r="E409" s="63" t="s">
        <v>45</v>
      </c>
      <c r="F409" s="77">
        <v>10</v>
      </c>
      <c r="G409" s="46">
        <v>28000</v>
      </c>
      <c r="H409" s="45">
        <v>0.8</v>
      </c>
      <c r="I409" s="31">
        <v>1.1479999999999999</v>
      </c>
      <c r="J409" s="223">
        <f t="shared" si="49"/>
        <v>257000</v>
      </c>
      <c r="K409" s="32">
        <f t="shared" si="51"/>
        <v>257000</v>
      </c>
      <c r="L409" s="261">
        <f t="shared" si="50"/>
        <v>0</v>
      </c>
      <c r="M409" s="14"/>
    </row>
    <row r="410" spans="1:13" ht="25.5" x14ac:dyDescent="0.3">
      <c r="A410" s="69"/>
      <c r="B410" s="8"/>
      <c r="C410" s="82" t="s">
        <v>433</v>
      </c>
      <c r="D410" s="277" t="s">
        <v>164</v>
      </c>
      <c r="E410" s="27" t="s">
        <v>35</v>
      </c>
      <c r="F410" s="98">
        <v>1</v>
      </c>
      <c r="G410" s="29">
        <v>40910</v>
      </c>
      <c r="H410" s="50">
        <v>1</v>
      </c>
      <c r="I410" s="51">
        <v>1</v>
      </c>
      <c r="J410" s="223">
        <f t="shared" si="49"/>
        <v>41000</v>
      </c>
      <c r="K410" s="32">
        <f t="shared" si="51"/>
        <v>41000</v>
      </c>
      <c r="L410" s="261">
        <f t="shared" si="50"/>
        <v>0</v>
      </c>
      <c r="M410" s="14"/>
    </row>
    <row r="411" spans="1:13" ht="45.75" customHeight="1" x14ac:dyDescent="0.3">
      <c r="A411" s="149">
        <v>17</v>
      </c>
      <c r="B411" s="150" t="s">
        <v>19</v>
      </c>
      <c r="C411" s="455" t="s">
        <v>1098</v>
      </c>
      <c r="D411" s="456"/>
      <c r="E411" s="456"/>
      <c r="F411" s="456"/>
      <c r="G411" s="456"/>
      <c r="H411" s="456"/>
      <c r="I411" s="457"/>
      <c r="J411" s="221">
        <f>SUM(J412:J433)</f>
        <v>187898000</v>
      </c>
      <c r="K411" s="32">
        <f t="shared" si="51"/>
        <v>0</v>
      </c>
      <c r="L411" s="261">
        <f t="shared" si="50"/>
        <v>187898000</v>
      </c>
      <c r="M411" s="24"/>
    </row>
    <row r="412" spans="1:13" ht="27" customHeight="1" x14ac:dyDescent="0.3">
      <c r="A412" s="69"/>
      <c r="B412" s="8"/>
      <c r="C412" s="433" t="s">
        <v>1089</v>
      </c>
      <c r="D412" s="434"/>
      <c r="E412" s="434"/>
      <c r="F412" s="466"/>
      <c r="G412" s="434"/>
      <c r="H412" s="434"/>
      <c r="I412" s="467"/>
      <c r="J412" s="229"/>
      <c r="K412" s="32">
        <f t="shared" si="51"/>
        <v>0</v>
      </c>
      <c r="L412" s="261">
        <f t="shared" si="50"/>
        <v>0</v>
      </c>
      <c r="M412" s="14"/>
    </row>
    <row r="413" spans="1:13" ht="72" customHeight="1" x14ac:dyDescent="0.3">
      <c r="A413" s="69"/>
      <c r="B413" s="8"/>
      <c r="C413" s="82" t="s">
        <v>434</v>
      </c>
      <c r="D413" s="274" t="s">
        <v>435</v>
      </c>
      <c r="E413" s="27" t="s">
        <v>23</v>
      </c>
      <c r="F413" s="75">
        <f>7.2*5</f>
        <v>36</v>
      </c>
      <c r="G413" s="29">
        <v>3371000</v>
      </c>
      <c r="H413" s="45">
        <v>0.8</v>
      </c>
      <c r="I413" s="102">
        <v>1.1479999999999999</v>
      </c>
      <c r="J413" s="223">
        <f t="shared" ref="J413:J433" si="52">ROUND(F413*G413*H413*I413,-3)</f>
        <v>111453000</v>
      </c>
      <c r="K413" s="32">
        <f t="shared" si="51"/>
        <v>111453000</v>
      </c>
      <c r="L413" s="261">
        <f t="shared" si="50"/>
        <v>0</v>
      </c>
      <c r="M413" s="14"/>
    </row>
    <row r="414" spans="1:13" ht="42" customHeight="1" x14ac:dyDescent="0.3">
      <c r="A414" s="69"/>
      <c r="B414" s="8"/>
      <c r="C414" s="82" t="s">
        <v>436</v>
      </c>
      <c r="D414" s="271" t="s">
        <v>225</v>
      </c>
      <c r="E414" s="96" t="s">
        <v>91</v>
      </c>
      <c r="F414" s="72">
        <f>3.7*5</f>
        <v>18.5</v>
      </c>
      <c r="G414" s="29">
        <v>527000</v>
      </c>
      <c r="H414" s="45">
        <v>0.8</v>
      </c>
      <c r="I414" s="151">
        <v>1.1479999999999999</v>
      </c>
      <c r="J414" s="223">
        <f t="shared" si="52"/>
        <v>8954000</v>
      </c>
      <c r="K414" s="32">
        <f t="shared" si="51"/>
        <v>8954000</v>
      </c>
      <c r="L414" s="261">
        <f t="shared" si="50"/>
        <v>0</v>
      </c>
      <c r="M414" s="14"/>
    </row>
    <row r="415" spans="1:13" ht="38.25" x14ac:dyDescent="0.3">
      <c r="A415" s="69"/>
      <c r="B415" s="8"/>
      <c r="C415" s="82" t="s">
        <v>437</v>
      </c>
      <c r="D415" s="267" t="s">
        <v>24</v>
      </c>
      <c r="E415" s="8" t="s">
        <v>25</v>
      </c>
      <c r="F415" s="89">
        <f>0.6*4.7*0.15</f>
        <v>0.42299999999999999</v>
      </c>
      <c r="G415" s="29">
        <v>2828000</v>
      </c>
      <c r="H415" s="45">
        <v>0.8</v>
      </c>
      <c r="I415" s="31">
        <v>1.1479999999999999</v>
      </c>
      <c r="J415" s="223">
        <f t="shared" si="52"/>
        <v>1099000</v>
      </c>
      <c r="K415" s="32">
        <f t="shared" si="51"/>
        <v>1099000</v>
      </c>
      <c r="L415" s="261">
        <f t="shared" si="50"/>
        <v>0</v>
      </c>
      <c r="M415" s="158"/>
    </row>
    <row r="416" spans="1:13" ht="38.25" x14ac:dyDescent="0.3">
      <c r="A416" s="69"/>
      <c r="B416" s="8"/>
      <c r="C416" s="82" t="s">
        <v>431</v>
      </c>
      <c r="D416" s="271" t="s">
        <v>32</v>
      </c>
      <c r="E416" s="27" t="s">
        <v>23</v>
      </c>
      <c r="F416" s="72">
        <f>4.1*5.1</f>
        <v>20.909999999999997</v>
      </c>
      <c r="G416" s="29">
        <v>215000</v>
      </c>
      <c r="H416" s="45">
        <v>0.8</v>
      </c>
      <c r="I416" s="31">
        <v>1.1479999999999999</v>
      </c>
      <c r="J416" s="223">
        <f t="shared" si="52"/>
        <v>4129000</v>
      </c>
      <c r="K416" s="32">
        <f t="shared" si="51"/>
        <v>4129000</v>
      </c>
      <c r="L416" s="261">
        <f t="shared" si="50"/>
        <v>0</v>
      </c>
      <c r="M416" s="14"/>
    </row>
    <row r="417" spans="1:13" ht="37.5" x14ac:dyDescent="0.3">
      <c r="A417" s="69"/>
      <c r="B417" s="8"/>
      <c r="C417" s="82" t="s">
        <v>438</v>
      </c>
      <c r="D417" s="270" t="s">
        <v>66</v>
      </c>
      <c r="E417" s="27" t="s">
        <v>23</v>
      </c>
      <c r="F417" s="72">
        <f>(11*1.2)*3+6.5*1.1</f>
        <v>46.749999999999993</v>
      </c>
      <c r="G417" s="29">
        <v>339000</v>
      </c>
      <c r="H417" s="45">
        <v>0.8</v>
      </c>
      <c r="I417" s="79">
        <v>1.1479999999999999</v>
      </c>
      <c r="J417" s="223">
        <f t="shared" si="52"/>
        <v>14555000</v>
      </c>
      <c r="K417" s="32">
        <f t="shared" si="51"/>
        <v>14555000</v>
      </c>
      <c r="L417" s="261">
        <f t="shared" si="50"/>
        <v>0</v>
      </c>
      <c r="M417" s="14"/>
    </row>
    <row r="418" spans="1:13" ht="37.5" x14ac:dyDescent="0.3">
      <c r="A418" s="69"/>
      <c r="B418" s="8"/>
      <c r="C418" s="82" t="s">
        <v>439</v>
      </c>
      <c r="D418" s="270" t="s">
        <v>66</v>
      </c>
      <c r="E418" s="27" t="s">
        <v>23</v>
      </c>
      <c r="F418" s="89">
        <f>8.4*1.7+(0.5*0.7)*8+5.5*1.9</f>
        <v>27.529999999999998</v>
      </c>
      <c r="G418" s="29">
        <v>339000</v>
      </c>
      <c r="H418" s="45">
        <v>0.8</v>
      </c>
      <c r="I418" s="102">
        <v>1.1479999999999999</v>
      </c>
      <c r="J418" s="223">
        <f t="shared" si="52"/>
        <v>8571000</v>
      </c>
      <c r="K418" s="32">
        <f t="shared" si="51"/>
        <v>8571000</v>
      </c>
      <c r="L418" s="261">
        <f t="shared" si="50"/>
        <v>0</v>
      </c>
      <c r="M418" s="14"/>
    </row>
    <row r="419" spans="1:13" s="289" customFormat="1" ht="34.5" customHeight="1" x14ac:dyDescent="0.3">
      <c r="A419" s="69"/>
      <c r="B419" s="8"/>
      <c r="C419" s="82" t="s">
        <v>1099</v>
      </c>
      <c r="D419" s="270" t="s">
        <v>52</v>
      </c>
      <c r="E419" s="71" t="s">
        <v>23</v>
      </c>
      <c r="F419" s="72">
        <f>3.5*4.7</f>
        <v>16.45</v>
      </c>
      <c r="G419" s="11" t="s">
        <v>53</v>
      </c>
      <c r="H419" s="45">
        <v>0.8</v>
      </c>
      <c r="I419" s="31">
        <v>1.1479999999999999</v>
      </c>
      <c r="J419" s="223">
        <f>ROUND(F419*G419*H419*I419,-3)</f>
        <v>3565000</v>
      </c>
      <c r="K419" s="32">
        <f>ROUND(G419*H419*I419*F419,-3)</f>
        <v>3565000</v>
      </c>
      <c r="L419" s="261">
        <f t="shared" si="50"/>
        <v>0</v>
      </c>
      <c r="M419" s="14"/>
    </row>
    <row r="420" spans="1:13" s="289" customFormat="1" ht="34.5" customHeight="1" x14ac:dyDescent="0.3">
      <c r="A420" s="69"/>
      <c r="B420" s="8"/>
      <c r="C420" s="82" t="s">
        <v>1100</v>
      </c>
      <c r="D420" s="271" t="s">
        <v>54</v>
      </c>
      <c r="E420" s="27" t="s">
        <v>23</v>
      </c>
      <c r="F420" s="72">
        <f>(2*4.7)+(2.1*1.6)</f>
        <v>12.760000000000002</v>
      </c>
      <c r="G420" s="46">
        <v>213000</v>
      </c>
      <c r="H420" s="45">
        <v>0.8</v>
      </c>
      <c r="I420" s="31">
        <v>1.1479999999999999</v>
      </c>
      <c r="J420" s="223">
        <f>ROUND(F420*G420*H420*I420,-3)</f>
        <v>2496000</v>
      </c>
      <c r="K420" s="32">
        <f>ROUND(G420*H420*I420*F420,-3)</f>
        <v>2496000</v>
      </c>
      <c r="L420" s="261">
        <f t="shared" si="50"/>
        <v>0</v>
      </c>
      <c r="M420" s="14"/>
    </row>
    <row r="421" spans="1:13" ht="36.75" customHeight="1" x14ac:dyDescent="0.3">
      <c r="A421" s="69"/>
      <c r="B421" s="8"/>
      <c r="C421" s="82" t="s">
        <v>440</v>
      </c>
      <c r="D421" s="270" t="s">
        <v>52</v>
      </c>
      <c r="E421" s="71" t="s">
        <v>23</v>
      </c>
      <c r="F421" s="72">
        <f>7*4.7</f>
        <v>32.9</v>
      </c>
      <c r="G421" s="11" t="s">
        <v>53</v>
      </c>
      <c r="H421" s="45">
        <v>0.8</v>
      </c>
      <c r="I421" s="31">
        <v>1.1479999999999999</v>
      </c>
      <c r="J421" s="223">
        <f t="shared" si="52"/>
        <v>7131000</v>
      </c>
      <c r="K421" s="32">
        <f t="shared" si="51"/>
        <v>7131000</v>
      </c>
      <c r="L421" s="261">
        <f t="shared" si="50"/>
        <v>0</v>
      </c>
      <c r="M421" s="14"/>
    </row>
    <row r="422" spans="1:13" ht="36.75" customHeight="1" x14ac:dyDescent="0.3">
      <c r="A422" s="69"/>
      <c r="B422" s="8"/>
      <c r="C422" s="82" t="s">
        <v>441</v>
      </c>
      <c r="D422" s="270" t="s">
        <v>442</v>
      </c>
      <c r="E422" s="27" t="s">
        <v>23</v>
      </c>
      <c r="F422" s="72">
        <f>2.8*1.1</f>
        <v>3.08</v>
      </c>
      <c r="G422" s="29">
        <v>527000</v>
      </c>
      <c r="H422" s="45">
        <v>0.8</v>
      </c>
      <c r="I422" s="31">
        <v>1.1479999999999999</v>
      </c>
      <c r="J422" s="223">
        <f t="shared" si="52"/>
        <v>1491000</v>
      </c>
      <c r="K422" s="32">
        <f t="shared" si="51"/>
        <v>1491000</v>
      </c>
      <c r="L422" s="261">
        <f t="shared" si="50"/>
        <v>0</v>
      </c>
      <c r="M422" s="14"/>
    </row>
    <row r="423" spans="1:13" ht="36.75" customHeight="1" x14ac:dyDescent="0.3">
      <c r="A423" s="69"/>
      <c r="B423" s="8"/>
      <c r="C423" s="82" t="s">
        <v>443</v>
      </c>
      <c r="D423" s="270" t="s">
        <v>28</v>
      </c>
      <c r="E423" s="27" t="s">
        <v>23</v>
      </c>
      <c r="F423" s="72">
        <f>3.4*0.6</f>
        <v>2.04</v>
      </c>
      <c r="G423" s="11">
        <v>396000</v>
      </c>
      <c r="H423" s="45">
        <v>0.8</v>
      </c>
      <c r="I423" s="31">
        <v>1.1479999999999999</v>
      </c>
      <c r="J423" s="223">
        <f t="shared" si="52"/>
        <v>742000</v>
      </c>
      <c r="K423" s="32">
        <f t="shared" si="51"/>
        <v>742000</v>
      </c>
      <c r="L423" s="261">
        <f t="shared" si="50"/>
        <v>0</v>
      </c>
      <c r="M423" s="14"/>
    </row>
    <row r="424" spans="1:13" ht="37.5" x14ac:dyDescent="0.3">
      <c r="A424" s="69"/>
      <c r="B424" s="8"/>
      <c r="C424" s="82" t="s">
        <v>834</v>
      </c>
      <c r="D424" s="270" t="s">
        <v>51</v>
      </c>
      <c r="E424" s="27" t="s">
        <v>23</v>
      </c>
      <c r="F424" s="72">
        <f>3.3*5</f>
        <v>16.5</v>
      </c>
      <c r="G424" s="29">
        <v>453000</v>
      </c>
      <c r="H424" s="45">
        <v>0.8</v>
      </c>
      <c r="I424" s="31">
        <v>1.1479999999999999</v>
      </c>
      <c r="J424" s="223">
        <f t="shared" si="52"/>
        <v>6865000</v>
      </c>
      <c r="K424" s="32">
        <f t="shared" si="51"/>
        <v>6865000</v>
      </c>
      <c r="L424" s="261">
        <f t="shared" si="50"/>
        <v>0</v>
      </c>
      <c r="M424" s="14"/>
    </row>
    <row r="425" spans="1:13" ht="39" customHeight="1" x14ac:dyDescent="0.3">
      <c r="A425" s="69"/>
      <c r="B425" s="8"/>
      <c r="C425" s="82" t="s">
        <v>444</v>
      </c>
      <c r="D425" s="270" t="s">
        <v>31</v>
      </c>
      <c r="E425" s="27" t="s">
        <v>23</v>
      </c>
      <c r="F425" s="75">
        <f>5*2.4</f>
        <v>12</v>
      </c>
      <c r="G425" s="29">
        <v>339000</v>
      </c>
      <c r="H425" s="45">
        <v>0.8</v>
      </c>
      <c r="I425" s="31">
        <v>1.1479999999999999</v>
      </c>
      <c r="J425" s="223">
        <f t="shared" si="52"/>
        <v>3736000</v>
      </c>
      <c r="K425" s="32">
        <f t="shared" si="51"/>
        <v>3736000</v>
      </c>
      <c r="L425" s="261">
        <f t="shared" si="50"/>
        <v>0</v>
      </c>
      <c r="M425" s="14"/>
    </row>
    <row r="426" spans="1:13" ht="38.25" x14ac:dyDescent="0.3">
      <c r="A426" s="69"/>
      <c r="B426" s="8"/>
      <c r="C426" s="82" t="s">
        <v>445</v>
      </c>
      <c r="D426" s="267" t="s">
        <v>89</v>
      </c>
      <c r="E426" s="71" t="s">
        <v>23</v>
      </c>
      <c r="F426" s="72">
        <f>3*5+2.6*1.5</f>
        <v>18.899999999999999</v>
      </c>
      <c r="G426" s="29">
        <v>11000</v>
      </c>
      <c r="H426" s="45">
        <v>0.8</v>
      </c>
      <c r="I426" s="31">
        <v>1.1479999999999999</v>
      </c>
      <c r="J426" s="223">
        <f t="shared" si="52"/>
        <v>191000</v>
      </c>
      <c r="K426" s="32">
        <f t="shared" si="51"/>
        <v>191000</v>
      </c>
      <c r="L426" s="261">
        <f t="shared" si="50"/>
        <v>0</v>
      </c>
      <c r="M426" s="14"/>
    </row>
    <row r="427" spans="1:13" ht="37.5" customHeight="1" x14ac:dyDescent="0.3">
      <c r="A427" s="69"/>
      <c r="B427" s="8"/>
      <c r="C427" s="82" t="s">
        <v>446</v>
      </c>
      <c r="D427" s="270" t="s">
        <v>29</v>
      </c>
      <c r="E427" s="27" t="s">
        <v>23</v>
      </c>
      <c r="F427" s="72">
        <f>2.6*1.2</f>
        <v>3.12</v>
      </c>
      <c r="G427" s="29">
        <v>792000</v>
      </c>
      <c r="H427" s="45">
        <v>0.8</v>
      </c>
      <c r="I427" s="31">
        <v>1.1479999999999999</v>
      </c>
      <c r="J427" s="223">
        <f t="shared" si="52"/>
        <v>2269000</v>
      </c>
      <c r="K427" s="32">
        <f t="shared" si="51"/>
        <v>2269000</v>
      </c>
      <c r="L427" s="261">
        <f t="shared" si="50"/>
        <v>0</v>
      </c>
      <c r="M427" s="14"/>
    </row>
    <row r="428" spans="1:13" ht="25.5" x14ac:dyDescent="0.3">
      <c r="A428" s="69"/>
      <c r="B428" s="8"/>
      <c r="C428" s="82" t="s">
        <v>165</v>
      </c>
      <c r="D428" s="280" t="s">
        <v>92</v>
      </c>
      <c r="E428" s="27" t="s">
        <v>35</v>
      </c>
      <c r="F428" s="98">
        <v>1</v>
      </c>
      <c r="G428" s="11">
        <v>16590</v>
      </c>
      <c r="H428" s="50">
        <v>1</v>
      </c>
      <c r="I428" s="51">
        <v>1</v>
      </c>
      <c r="J428" s="223">
        <f t="shared" si="52"/>
        <v>17000</v>
      </c>
      <c r="K428" s="32">
        <f t="shared" si="51"/>
        <v>17000</v>
      </c>
      <c r="L428" s="261">
        <f t="shared" si="50"/>
        <v>0</v>
      </c>
      <c r="M428" s="14"/>
    </row>
    <row r="429" spans="1:13" ht="40.5" customHeight="1" x14ac:dyDescent="0.3">
      <c r="A429" s="69"/>
      <c r="B429" s="8"/>
      <c r="C429" s="82" t="s">
        <v>447</v>
      </c>
      <c r="D429" s="270" t="s">
        <v>52</v>
      </c>
      <c r="E429" s="96" t="s">
        <v>91</v>
      </c>
      <c r="F429" s="72">
        <f>(5*0.4)*2</f>
        <v>4</v>
      </c>
      <c r="G429" s="11" t="s">
        <v>53</v>
      </c>
      <c r="H429" s="45">
        <v>0.8</v>
      </c>
      <c r="I429" s="31">
        <v>1.1479999999999999</v>
      </c>
      <c r="J429" s="223">
        <f t="shared" si="52"/>
        <v>867000</v>
      </c>
      <c r="K429" s="32">
        <f t="shared" si="51"/>
        <v>867000</v>
      </c>
      <c r="L429" s="261">
        <f t="shared" si="50"/>
        <v>0</v>
      </c>
      <c r="M429" s="14"/>
    </row>
    <row r="430" spans="1:13" ht="38.25" x14ac:dyDescent="0.3">
      <c r="A430" s="69"/>
      <c r="B430" s="8"/>
      <c r="C430" s="82" t="s">
        <v>432</v>
      </c>
      <c r="D430" s="273" t="s">
        <v>44</v>
      </c>
      <c r="E430" s="63" t="s">
        <v>45</v>
      </c>
      <c r="F430" s="77">
        <v>10</v>
      </c>
      <c r="G430" s="46">
        <v>28000</v>
      </c>
      <c r="H430" s="45">
        <v>0.8</v>
      </c>
      <c r="I430" s="31">
        <v>1.1479999999999999</v>
      </c>
      <c r="J430" s="223">
        <f t="shared" si="52"/>
        <v>257000</v>
      </c>
      <c r="K430" s="32">
        <f t="shared" si="51"/>
        <v>257000</v>
      </c>
      <c r="L430" s="261">
        <f t="shared" si="50"/>
        <v>0</v>
      </c>
      <c r="M430" s="14"/>
    </row>
    <row r="431" spans="1:13" ht="38.25" x14ac:dyDescent="0.3">
      <c r="A431" s="69"/>
      <c r="B431" s="8"/>
      <c r="C431" s="82" t="s">
        <v>111</v>
      </c>
      <c r="D431" s="271" t="s">
        <v>47</v>
      </c>
      <c r="E431" s="63" t="s">
        <v>45</v>
      </c>
      <c r="F431" s="77">
        <v>10</v>
      </c>
      <c r="G431" s="46">
        <v>28000</v>
      </c>
      <c r="H431" s="45">
        <v>0.8</v>
      </c>
      <c r="I431" s="31">
        <v>1.1479999999999999</v>
      </c>
      <c r="J431" s="223">
        <f t="shared" si="52"/>
        <v>257000</v>
      </c>
      <c r="K431" s="32">
        <f t="shared" si="51"/>
        <v>257000</v>
      </c>
      <c r="L431" s="261">
        <f t="shared" si="50"/>
        <v>0</v>
      </c>
      <c r="M431" s="14"/>
    </row>
    <row r="432" spans="1:13" ht="37.5" x14ac:dyDescent="0.3">
      <c r="A432" s="69"/>
      <c r="B432" s="8"/>
      <c r="C432" s="82" t="s">
        <v>448</v>
      </c>
      <c r="D432" s="270" t="s">
        <v>52</v>
      </c>
      <c r="E432" s="27" t="s">
        <v>23</v>
      </c>
      <c r="F432" s="72">
        <f>5*4.7+(3.7*2.5)*2</f>
        <v>42</v>
      </c>
      <c r="G432" s="11" t="s">
        <v>53</v>
      </c>
      <c r="H432" s="45">
        <v>0.8</v>
      </c>
      <c r="I432" s="79">
        <v>1.1479999999999999</v>
      </c>
      <c r="J432" s="223">
        <f t="shared" si="52"/>
        <v>9103000</v>
      </c>
      <c r="K432" s="32">
        <f t="shared" si="51"/>
        <v>9103000</v>
      </c>
      <c r="L432" s="261">
        <f t="shared" si="50"/>
        <v>0</v>
      </c>
      <c r="M432" s="14"/>
    </row>
    <row r="433" spans="1:13" ht="38.25" x14ac:dyDescent="0.3">
      <c r="A433" s="69"/>
      <c r="B433" s="8"/>
      <c r="C433" s="82" t="s">
        <v>866</v>
      </c>
      <c r="D433" s="277" t="s">
        <v>869</v>
      </c>
      <c r="E433" s="182" t="s">
        <v>828</v>
      </c>
      <c r="F433" s="77">
        <f>0.6*0.6*1</f>
        <v>0.36</v>
      </c>
      <c r="G433" s="130">
        <v>453000</v>
      </c>
      <c r="H433" s="45">
        <v>0.8</v>
      </c>
      <c r="I433" s="40">
        <v>1.1479999999999999</v>
      </c>
      <c r="J433" s="229">
        <f t="shared" si="52"/>
        <v>150000</v>
      </c>
      <c r="K433" s="32">
        <f t="shared" si="51"/>
        <v>150000</v>
      </c>
      <c r="L433" s="261">
        <f t="shared" si="50"/>
        <v>0</v>
      </c>
      <c r="M433" s="14"/>
    </row>
    <row r="434" spans="1:13" ht="48" customHeight="1" x14ac:dyDescent="0.3">
      <c r="A434" s="149">
        <v>18</v>
      </c>
      <c r="B434" s="150" t="s">
        <v>19</v>
      </c>
      <c r="C434" s="455" t="s">
        <v>1101</v>
      </c>
      <c r="D434" s="456"/>
      <c r="E434" s="456"/>
      <c r="F434" s="456"/>
      <c r="G434" s="456"/>
      <c r="H434" s="456"/>
      <c r="I434" s="457"/>
      <c r="J434" s="221">
        <f>SUM(J435:J443)</f>
        <v>131057000</v>
      </c>
      <c r="K434" s="32">
        <f t="shared" si="51"/>
        <v>0</v>
      </c>
      <c r="L434" s="261">
        <f t="shared" si="50"/>
        <v>131057000</v>
      </c>
      <c r="M434" s="24"/>
    </row>
    <row r="435" spans="1:13" ht="24.75" customHeight="1" x14ac:dyDescent="0.3">
      <c r="A435" s="69"/>
      <c r="B435" s="8"/>
      <c r="C435" s="433" t="s">
        <v>1089</v>
      </c>
      <c r="D435" s="434"/>
      <c r="E435" s="434"/>
      <c r="F435" s="466"/>
      <c r="G435" s="434"/>
      <c r="H435" s="434"/>
      <c r="I435" s="467"/>
      <c r="J435" s="223"/>
      <c r="K435" s="32">
        <f t="shared" si="51"/>
        <v>0</v>
      </c>
      <c r="L435" s="261">
        <f t="shared" si="50"/>
        <v>0</v>
      </c>
      <c r="M435" s="14"/>
    </row>
    <row r="436" spans="1:13" ht="72" customHeight="1" x14ac:dyDescent="0.3">
      <c r="A436" s="69"/>
      <c r="B436" s="8"/>
      <c r="C436" s="82" t="s">
        <v>449</v>
      </c>
      <c r="D436" s="274" t="s">
        <v>435</v>
      </c>
      <c r="E436" s="27" t="s">
        <v>23</v>
      </c>
      <c r="F436" s="75">
        <f>5*7.2</f>
        <v>36</v>
      </c>
      <c r="G436" s="29">
        <v>3371000</v>
      </c>
      <c r="H436" s="45">
        <v>0.8</v>
      </c>
      <c r="I436" s="102">
        <v>1.1479999999999999</v>
      </c>
      <c r="J436" s="223">
        <f t="shared" ref="J436:J443" si="53">ROUND(F436*G436*H436*I436,-3)</f>
        <v>111453000</v>
      </c>
      <c r="K436" s="32">
        <f t="shared" ref="K436:K514" si="54">ROUND(G436*H436*I436*F436,-3)</f>
        <v>111453000</v>
      </c>
      <c r="L436" s="261">
        <f t="shared" si="50"/>
        <v>0</v>
      </c>
      <c r="M436" s="14"/>
    </row>
    <row r="437" spans="1:13" ht="38.25" x14ac:dyDescent="0.3">
      <c r="A437" s="69"/>
      <c r="B437" s="8"/>
      <c r="C437" s="82" t="s">
        <v>450</v>
      </c>
      <c r="D437" s="267" t="s">
        <v>24</v>
      </c>
      <c r="E437" s="8" t="s">
        <v>25</v>
      </c>
      <c r="F437" s="89">
        <f>(4.7*0.6*0.15)</f>
        <v>0.42299999999999999</v>
      </c>
      <c r="G437" s="29">
        <v>2828000</v>
      </c>
      <c r="H437" s="45">
        <v>0.8</v>
      </c>
      <c r="I437" s="31">
        <v>1.1479999999999999</v>
      </c>
      <c r="J437" s="223">
        <f t="shared" si="53"/>
        <v>1099000</v>
      </c>
      <c r="K437" s="32">
        <f t="shared" si="54"/>
        <v>1099000</v>
      </c>
      <c r="L437" s="261">
        <f t="shared" si="50"/>
        <v>0</v>
      </c>
      <c r="M437" s="14"/>
    </row>
    <row r="438" spans="1:13" ht="38.25" x14ac:dyDescent="0.3">
      <c r="A438" s="69"/>
      <c r="B438" s="8"/>
      <c r="C438" s="82" t="s">
        <v>451</v>
      </c>
      <c r="D438" s="271" t="s">
        <v>32</v>
      </c>
      <c r="E438" s="27" t="s">
        <v>23</v>
      </c>
      <c r="F438" s="72">
        <f>4.1*5</f>
        <v>20.5</v>
      </c>
      <c r="G438" s="29">
        <v>215000</v>
      </c>
      <c r="H438" s="45">
        <v>0.8</v>
      </c>
      <c r="I438" s="31">
        <v>1.1479999999999999</v>
      </c>
      <c r="J438" s="223">
        <f t="shared" si="53"/>
        <v>4048000</v>
      </c>
      <c r="K438" s="32">
        <f t="shared" si="54"/>
        <v>4048000</v>
      </c>
      <c r="L438" s="261">
        <f t="shared" si="50"/>
        <v>0</v>
      </c>
      <c r="M438" s="158"/>
    </row>
    <row r="439" spans="1:13" ht="37.5" x14ac:dyDescent="0.3">
      <c r="A439" s="69"/>
      <c r="B439" s="8"/>
      <c r="C439" s="82" t="s">
        <v>835</v>
      </c>
      <c r="D439" s="270" t="s">
        <v>51</v>
      </c>
      <c r="E439" s="27" t="s">
        <v>23</v>
      </c>
      <c r="F439" s="72">
        <f>2.8*5</f>
        <v>14</v>
      </c>
      <c r="G439" s="29">
        <v>453000</v>
      </c>
      <c r="H439" s="45">
        <v>0.8</v>
      </c>
      <c r="I439" s="31">
        <v>1.1479999999999999</v>
      </c>
      <c r="J439" s="223">
        <f t="shared" si="53"/>
        <v>5824000</v>
      </c>
      <c r="K439" s="32">
        <f t="shared" si="54"/>
        <v>5824000</v>
      </c>
      <c r="L439" s="261">
        <f t="shared" si="50"/>
        <v>0</v>
      </c>
      <c r="M439" s="14"/>
    </row>
    <row r="440" spans="1:13" ht="38.25" x14ac:dyDescent="0.3">
      <c r="A440" s="69"/>
      <c r="B440" s="8"/>
      <c r="C440" s="82" t="s">
        <v>452</v>
      </c>
      <c r="D440" s="271" t="s">
        <v>32</v>
      </c>
      <c r="E440" s="27" t="s">
        <v>23</v>
      </c>
      <c r="F440" s="72">
        <f>2.8*5</f>
        <v>14</v>
      </c>
      <c r="G440" s="29">
        <v>215000</v>
      </c>
      <c r="H440" s="45">
        <v>0.8</v>
      </c>
      <c r="I440" s="31">
        <v>1.1479999999999999</v>
      </c>
      <c r="J440" s="223">
        <f t="shared" si="53"/>
        <v>2764000</v>
      </c>
      <c r="K440" s="32">
        <f t="shared" si="54"/>
        <v>2764000</v>
      </c>
      <c r="L440" s="261">
        <f t="shared" si="50"/>
        <v>0</v>
      </c>
      <c r="M440" s="14"/>
    </row>
    <row r="441" spans="1:13" ht="38.25" x14ac:dyDescent="0.3">
      <c r="A441" s="69"/>
      <c r="B441" s="8"/>
      <c r="C441" s="82" t="s">
        <v>453</v>
      </c>
      <c r="D441" s="267" t="s">
        <v>161</v>
      </c>
      <c r="E441" s="71" t="s">
        <v>23</v>
      </c>
      <c r="F441" s="72">
        <f>2.4*5</f>
        <v>12</v>
      </c>
      <c r="G441" s="11">
        <v>396000</v>
      </c>
      <c r="H441" s="45">
        <v>0.8</v>
      </c>
      <c r="I441" s="31">
        <v>1.1479999999999999</v>
      </c>
      <c r="J441" s="223">
        <f t="shared" si="53"/>
        <v>4364000</v>
      </c>
      <c r="K441" s="32">
        <f t="shared" si="54"/>
        <v>4364000</v>
      </c>
      <c r="L441" s="261">
        <f t="shared" si="50"/>
        <v>0</v>
      </c>
      <c r="M441" s="14"/>
    </row>
    <row r="442" spans="1:13" ht="42.75" customHeight="1" x14ac:dyDescent="0.3">
      <c r="A442" s="69"/>
      <c r="B442" s="8"/>
      <c r="C442" s="82" t="s">
        <v>454</v>
      </c>
      <c r="D442" s="272" t="s">
        <v>33</v>
      </c>
      <c r="E442" s="27" t="s">
        <v>23</v>
      </c>
      <c r="F442" s="89">
        <f>5*0.6</f>
        <v>3</v>
      </c>
      <c r="G442" s="29">
        <v>453000</v>
      </c>
      <c r="H442" s="45">
        <v>0.8</v>
      </c>
      <c r="I442" s="31">
        <v>1.1479999999999999</v>
      </c>
      <c r="J442" s="223">
        <f t="shared" si="53"/>
        <v>1248000</v>
      </c>
      <c r="K442" s="32">
        <f t="shared" si="54"/>
        <v>1248000</v>
      </c>
      <c r="L442" s="261">
        <f t="shared" si="50"/>
        <v>0</v>
      </c>
      <c r="M442" s="14"/>
    </row>
    <row r="443" spans="1:13" ht="38.25" x14ac:dyDescent="0.3">
      <c r="A443" s="69"/>
      <c r="B443" s="8"/>
      <c r="C443" s="82" t="s">
        <v>111</v>
      </c>
      <c r="D443" s="271" t="s">
        <v>47</v>
      </c>
      <c r="E443" s="63" t="s">
        <v>45</v>
      </c>
      <c r="F443" s="77">
        <v>10</v>
      </c>
      <c r="G443" s="46">
        <v>28000</v>
      </c>
      <c r="H443" s="45">
        <v>0.8</v>
      </c>
      <c r="I443" s="31">
        <v>1.1479999999999999</v>
      </c>
      <c r="J443" s="223">
        <f t="shared" si="53"/>
        <v>257000</v>
      </c>
      <c r="K443" s="32">
        <f t="shared" si="54"/>
        <v>257000</v>
      </c>
      <c r="L443" s="261">
        <f t="shared" si="50"/>
        <v>0</v>
      </c>
      <c r="M443" s="14"/>
    </row>
    <row r="444" spans="1:13" ht="49.5" customHeight="1" x14ac:dyDescent="0.3">
      <c r="A444" s="149">
        <v>19</v>
      </c>
      <c r="B444" s="150" t="s">
        <v>19</v>
      </c>
      <c r="C444" s="455" t="s">
        <v>1102</v>
      </c>
      <c r="D444" s="456"/>
      <c r="E444" s="456"/>
      <c r="F444" s="456"/>
      <c r="G444" s="456"/>
      <c r="H444" s="456"/>
      <c r="I444" s="457"/>
      <c r="J444" s="221">
        <f>SUM(J445:J455)</f>
        <v>179115000</v>
      </c>
      <c r="K444" s="32">
        <f t="shared" si="54"/>
        <v>0</v>
      </c>
      <c r="L444" s="261">
        <f t="shared" si="50"/>
        <v>179115000</v>
      </c>
      <c r="M444" s="24"/>
    </row>
    <row r="445" spans="1:13" ht="27.75" customHeight="1" x14ac:dyDescent="0.3">
      <c r="A445" s="69"/>
      <c r="B445" s="8"/>
      <c r="C445" s="433" t="s">
        <v>1089</v>
      </c>
      <c r="D445" s="434"/>
      <c r="E445" s="434"/>
      <c r="F445" s="466"/>
      <c r="G445" s="434"/>
      <c r="H445" s="434"/>
      <c r="I445" s="467"/>
      <c r="J445" s="223"/>
      <c r="K445" s="32">
        <f t="shared" si="54"/>
        <v>0</v>
      </c>
      <c r="L445" s="261">
        <f t="shared" si="50"/>
        <v>0</v>
      </c>
      <c r="M445" s="14"/>
    </row>
    <row r="446" spans="1:13" ht="72" customHeight="1" x14ac:dyDescent="0.3">
      <c r="A446" s="69"/>
      <c r="B446" s="8"/>
      <c r="C446" s="82" t="s">
        <v>455</v>
      </c>
      <c r="D446" s="274" t="s">
        <v>435</v>
      </c>
      <c r="E446" s="27" t="s">
        <v>23</v>
      </c>
      <c r="F446" s="75">
        <f>9.4*5</f>
        <v>47</v>
      </c>
      <c r="G446" s="29">
        <v>3371000</v>
      </c>
      <c r="H446" s="45">
        <v>0.8</v>
      </c>
      <c r="I446" s="102">
        <v>1.1479999999999999</v>
      </c>
      <c r="J446" s="223">
        <f t="shared" ref="J446:J455" si="55">ROUND(F446*G446*H446*I446,-3)</f>
        <v>145509000</v>
      </c>
      <c r="K446" s="32">
        <f t="shared" si="54"/>
        <v>145509000</v>
      </c>
      <c r="L446" s="261">
        <f t="shared" si="50"/>
        <v>0</v>
      </c>
      <c r="M446" s="14"/>
    </row>
    <row r="447" spans="1:13" ht="25.5" x14ac:dyDescent="0.3">
      <c r="A447" s="69"/>
      <c r="B447" s="8"/>
      <c r="C447" s="82" t="s">
        <v>456</v>
      </c>
      <c r="D447" s="271" t="s">
        <v>54</v>
      </c>
      <c r="E447" s="27" t="s">
        <v>23</v>
      </c>
      <c r="F447" s="72">
        <f>4.7*5.9</f>
        <v>27.730000000000004</v>
      </c>
      <c r="G447" s="46">
        <v>213000</v>
      </c>
      <c r="H447" s="45">
        <v>0.8</v>
      </c>
      <c r="I447" s="31">
        <v>1.1479999999999999</v>
      </c>
      <c r="J447" s="223">
        <f t="shared" si="55"/>
        <v>5425000</v>
      </c>
      <c r="K447" s="32">
        <f t="shared" si="54"/>
        <v>5425000</v>
      </c>
      <c r="L447" s="261">
        <f t="shared" si="50"/>
        <v>0</v>
      </c>
      <c r="M447" s="14"/>
    </row>
    <row r="448" spans="1:13" ht="25.5" x14ac:dyDescent="0.3">
      <c r="A448" s="69"/>
      <c r="B448" s="8"/>
      <c r="C448" s="82" t="s">
        <v>457</v>
      </c>
      <c r="D448" s="271" t="s">
        <v>54</v>
      </c>
      <c r="E448" s="27" t="s">
        <v>23</v>
      </c>
      <c r="F448" s="72">
        <f>4.7*3.3</f>
        <v>15.51</v>
      </c>
      <c r="G448" s="46">
        <v>213000</v>
      </c>
      <c r="H448" s="45">
        <v>0.8</v>
      </c>
      <c r="I448" s="57">
        <v>1.1479999999999999</v>
      </c>
      <c r="J448" s="223">
        <f t="shared" si="55"/>
        <v>3034000</v>
      </c>
      <c r="K448" s="32">
        <f t="shared" si="54"/>
        <v>3034000</v>
      </c>
      <c r="L448" s="261">
        <f t="shared" si="50"/>
        <v>0</v>
      </c>
      <c r="M448" s="158"/>
    </row>
    <row r="449" spans="1:13" ht="37.5" x14ac:dyDescent="0.3">
      <c r="A449" s="69"/>
      <c r="B449" s="8"/>
      <c r="C449" s="82" t="s">
        <v>458</v>
      </c>
      <c r="D449" s="270" t="s">
        <v>66</v>
      </c>
      <c r="E449" s="27" t="s">
        <v>23</v>
      </c>
      <c r="F449" s="89">
        <f>2*0.4+3.5*1</f>
        <v>4.3</v>
      </c>
      <c r="G449" s="29">
        <v>339000</v>
      </c>
      <c r="H449" s="45">
        <v>0.8</v>
      </c>
      <c r="I449" s="102">
        <v>1.1479999999999999</v>
      </c>
      <c r="J449" s="223">
        <f t="shared" si="55"/>
        <v>1339000</v>
      </c>
      <c r="K449" s="32">
        <f t="shared" si="54"/>
        <v>1339000</v>
      </c>
      <c r="L449" s="261">
        <f t="shared" si="50"/>
        <v>0</v>
      </c>
      <c r="M449" s="14"/>
    </row>
    <row r="450" spans="1:13" ht="38.25" x14ac:dyDescent="0.3">
      <c r="A450" s="69"/>
      <c r="B450" s="8"/>
      <c r="C450" s="82" t="s">
        <v>459</v>
      </c>
      <c r="D450" s="271" t="s">
        <v>32</v>
      </c>
      <c r="E450" s="27" t="s">
        <v>23</v>
      </c>
      <c r="F450" s="72">
        <f>4.1*5</f>
        <v>20.5</v>
      </c>
      <c r="G450" s="29">
        <v>215000</v>
      </c>
      <c r="H450" s="45">
        <v>0.8</v>
      </c>
      <c r="I450" s="31">
        <v>1.1479999999999999</v>
      </c>
      <c r="J450" s="223">
        <f t="shared" si="55"/>
        <v>4048000</v>
      </c>
      <c r="K450" s="32">
        <f t="shared" si="54"/>
        <v>4048000</v>
      </c>
      <c r="L450" s="261">
        <f t="shared" si="50"/>
        <v>0</v>
      </c>
      <c r="M450" s="14"/>
    </row>
    <row r="451" spans="1:13" ht="37.5" x14ac:dyDescent="0.3">
      <c r="A451" s="69"/>
      <c r="B451" s="8"/>
      <c r="C451" s="82" t="s">
        <v>460</v>
      </c>
      <c r="D451" s="270" t="s">
        <v>55</v>
      </c>
      <c r="E451" s="27" t="s">
        <v>23</v>
      </c>
      <c r="F451" s="72">
        <f>4.17*5</f>
        <v>20.85</v>
      </c>
      <c r="G451" s="29">
        <v>905000</v>
      </c>
      <c r="H451" s="45">
        <v>0.8</v>
      </c>
      <c r="I451" s="79">
        <v>1.1479999999999999</v>
      </c>
      <c r="J451" s="223">
        <f t="shared" si="55"/>
        <v>17330000</v>
      </c>
      <c r="K451" s="32">
        <f t="shared" si="54"/>
        <v>17330000</v>
      </c>
      <c r="L451" s="261">
        <f t="shared" si="50"/>
        <v>0</v>
      </c>
      <c r="M451" s="14"/>
    </row>
    <row r="452" spans="1:13" ht="38.25" x14ac:dyDescent="0.3">
      <c r="A452" s="69"/>
      <c r="B452" s="8"/>
      <c r="C452" s="82" t="s">
        <v>437</v>
      </c>
      <c r="D452" s="267" t="s">
        <v>24</v>
      </c>
      <c r="E452" s="8" t="s">
        <v>25</v>
      </c>
      <c r="F452" s="89">
        <f>0.6*4.7*0.15</f>
        <v>0.42299999999999999</v>
      </c>
      <c r="G452" s="29">
        <v>2828000</v>
      </c>
      <c r="H452" s="45">
        <v>0.8</v>
      </c>
      <c r="I452" s="31">
        <v>1.1479999999999999</v>
      </c>
      <c r="J452" s="223">
        <f t="shared" si="55"/>
        <v>1099000</v>
      </c>
      <c r="K452" s="32">
        <f t="shared" si="54"/>
        <v>1099000</v>
      </c>
      <c r="L452" s="261">
        <f t="shared" si="50"/>
        <v>0</v>
      </c>
      <c r="M452" s="14"/>
    </row>
    <row r="453" spans="1:13" ht="25.5" x14ac:dyDescent="0.3">
      <c r="A453" s="69"/>
      <c r="B453" s="8"/>
      <c r="C453" s="82" t="s">
        <v>461</v>
      </c>
      <c r="D453" s="271" t="s">
        <v>54</v>
      </c>
      <c r="E453" s="27" t="s">
        <v>23</v>
      </c>
      <c r="F453" s="72">
        <f>(1.2*2.2)*2</f>
        <v>5.28</v>
      </c>
      <c r="G453" s="46">
        <v>213000</v>
      </c>
      <c r="H453" s="45">
        <v>0.8</v>
      </c>
      <c r="I453" s="57">
        <v>1.1479999999999999</v>
      </c>
      <c r="J453" s="223">
        <f t="shared" si="55"/>
        <v>1033000</v>
      </c>
      <c r="K453" s="32">
        <f t="shared" si="54"/>
        <v>1033000</v>
      </c>
      <c r="L453" s="261">
        <f t="shared" si="50"/>
        <v>0</v>
      </c>
      <c r="M453" s="14"/>
    </row>
    <row r="454" spans="1:13" ht="25.5" x14ac:dyDescent="0.3">
      <c r="A454" s="69"/>
      <c r="B454" s="8"/>
      <c r="C454" s="82" t="s">
        <v>462</v>
      </c>
      <c r="D454" s="271" t="s">
        <v>864</v>
      </c>
      <c r="E454" s="27" t="s">
        <v>35</v>
      </c>
      <c r="F454" s="98">
        <v>1</v>
      </c>
      <c r="G454" s="29">
        <v>40910</v>
      </c>
      <c r="H454" s="50">
        <v>1</v>
      </c>
      <c r="I454" s="51">
        <v>1</v>
      </c>
      <c r="J454" s="223">
        <f t="shared" si="55"/>
        <v>41000</v>
      </c>
      <c r="K454" s="32">
        <f t="shared" si="54"/>
        <v>41000</v>
      </c>
      <c r="L454" s="261">
        <f t="shared" si="50"/>
        <v>0</v>
      </c>
      <c r="M454" s="14"/>
    </row>
    <row r="455" spans="1:13" ht="38.25" x14ac:dyDescent="0.3">
      <c r="A455" s="69"/>
      <c r="B455" s="8"/>
      <c r="C455" s="82" t="s">
        <v>111</v>
      </c>
      <c r="D455" s="271" t="s">
        <v>47</v>
      </c>
      <c r="E455" s="63" t="s">
        <v>45</v>
      </c>
      <c r="F455" s="77">
        <v>10</v>
      </c>
      <c r="G455" s="46">
        <v>28000</v>
      </c>
      <c r="H455" s="45">
        <v>0.8</v>
      </c>
      <c r="I455" s="31">
        <v>1.1479999999999999</v>
      </c>
      <c r="J455" s="223">
        <f t="shared" si="55"/>
        <v>257000</v>
      </c>
      <c r="K455" s="32">
        <f t="shared" si="54"/>
        <v>257000</v>
      </c>
      <c r="L455" s="261">
        <f t="shared" si="50"/>
        <v>0</v>
      </c>
      <c r="M455" s="14"/>
    </row>
    <row r="456" spans="1:13" ht="39.75" customHeight="1" x14ac:dyDescent="0.3">
      <c r="A456" s="149">
        <v>20</v>
      </c>
      <c r="B456" s="150" t="s">
        <v>19</v>
      </c>
      <c r="C456" s="455" t="s">
        <v>1103</v>
      </c>
      <c r="D456" s="456"/>
      <c r="E456" s="456"/>
      <c r="F456" s="468"/>
      <c r="G456" s="456"/>
      <c r="H456" s="456"/>
      <c r="I456" s="469"/>
      <c r="J456" s="221">
        <f>SUM(J457:J470)</f>
        <v>157194000</v>
      </c>
      <c r="K456" s="32">
        <f t="shared" si="54"/>
        <v>0</v>
      </c>
      <c r="L456" s="261">
        <f t="shared" si="50"/>
        <v>157194000</v>
      </c>
      <c r="M456" s="24"/>
    </row>
    <row r="457" spans="1:13" ht="27.75" customHeight="1" x14ac:dyDescent="0.3">
      <c r="A457" s="69"/>
      <c r="B457" s="8"/>
      <c r="C457" s="433" t="s">
        <v>1089</v>
      </c>
      <c r="D457" s="434"/>
      <c r="E457" s="434"/>
      <c r="F457" s="466"/>
      <c r="G457" s="434"/>
      <c r="H457" s="434"/>
      <c r="I457" s="467"/>
      <c r="J457" s="223"/>
      <c r="K457" s="32">
        <f t="shared" si="54"/>
        <v>0</v>
      </c>
      <c r="L457" s="261">
        <f t="shared" si="50"/>
        <v>0</v>
      </c>
      <c r="M457" s="14"/>
    </row>
    <row r="458" spans="1:13" ht="72" customHeight="1" x14ac:dyDescent="0.3">
      <c r="A458" s="69"/>
      <c r="B458" s="8"/>
      <c r="C458" s="82" t="s">
        <v>463</v>
      </c>
      <c r="D458" s="274" t="s">
        <v>435</v>
      </c>
      <c r="E458" s="27" t="s">
        <v>23</v>
      </c>
      <c r="F458" s="75">
        <f>8.5*5</f>
        <v>42.5</v>
      </c>
      <c r="G458" s="29">
        <v>3371000</v>
      </c>
      <c r="H458" s="45">
        <v>0.8</v>
      </c>
      <c r="I458" s="102">
        <v>1.1479999999999999</v>
      </c>
      <c r="J458" s="223">
        <f t="shared" ref="J458:J470" si="56">ROUND(F458*G458*H458*I458,-3)</f>
        <v>131577000</v>
      </c>
      <c r="K458" s="32">
        <f t="shared" si="54"/>
        <v>131577000</v>
      </c>
      <c r="L458" s="261">
        <f t="shared" si="50"/>
        <v>0</v>
      </c>
      <c r="M458" s="14"/>
    </row>
    <row r="459" spans="1:13" ht="33.75" customHeight="1" x14ac:dyDescent="0.3">
      <c r="A459" s="69"/>
      <c r="B459" s="8"/>
      <c r="C459" s="82" t="s">
        <v>464</v>
      </c>
      <c r="D459" s="270" t="s">
        <v>52</v>
      </c>
      <c r="E459" s="71" t="s">
        <v>23</v>
      </c>
      <c r="F459" s="72">
        <f>6.8*4.7</f>
        <v>31.96</v>
      </c>
      <c r="G459" s="11" t="s">
        <v>53</v>
      </c>
      <c r="H459" s="45">
        <v>0.8</v>
      </c>
      <c r="I459" s="31">
        <v>1.1479999999999999</v>
      </c>
      <c r="J459" s="223">
        <f t="shared" si="56"/>
        <v>6927000</v>
      </c>
      <c r="K459" s="32">
        <f t="shared" si="54"/>
        <v>6927000</v>
      </c>
      <c r="L459" s="261">
        <f t="shared" si="50"/>
        <v>0</v>
      </c>
      <c r="M459" s="14"/>
    </row>
    <row r="460" spans="1:13" ht="25.5" x14ac:dyDescent="0.3">
      <c r="A460" s="69"/>
      <c r="B460" s="8"/>
      <c r="C460" s="82" t="s">
        <v>465</v>
      </c>
      <c r="D460" s="271" t="s">
        <v>54</v>
      </c>
      <c r="E460" s="27" t="s">
        <v>23</v>
      </c>
      <c r="F460" s="72">
        <f>4.1*4.7</f>
        <v>19.27</v>
      </c>
      <c r="G460" s="46">
        <v>213000</v>
      </c>
      <c r="H460" s="45">
        <v>0.8</v>
      </c>
      <c r="I460" s="31">
        <v>1.1479999999999999</v>
      </c>
      <c r="J460" s="223">
        <f t="shared" si="56"/>
        <v>3770000</v>
      </c>
      <c r="K460" s="32">
        <f t="shared" si="54"/>
        <v>3770000</v>
      </c>
      <c r="L460" s="261">
        <f t="shared" si="50"/>
        <v>0</v>
      </c>
      <c r="M460" s="158"/>
    </row>
    <row r="461" spans="1:13" ht="36.75" customHeight="1" x14ac:dyDescent="0.3">
      <c r="A461" s="69"/>
      <c r="B461" s="8"/>
      <c r="C461" s="82" t="s">
        <v>466</v>
      </c>
      <c r="D461" s="270" t="s">
        <v>66</v>
      </c>
      <c r="E461" s="27" t="s">
        <v>23</v>
      </c>
      <c r="F461" s="72">
        <f>4*0.75</f>
        <v>3</v>
      </c>
      <c r="G461" s="29">
        <v>339000</v>
      </c>
      <c r="H461" s="45">
        <v>0.8</v>
      </c>
      <c r="I461" s="31">
        <v>1.1479999999999999</v>
      </c>
      <c r="J461" s="223">
        <f t="shared" si="56"/>
        <v>934000</v>
      </c>
      <c r="K461" s="32">
        <f t="shared" si="54"/>
        <v>934000</v>
      </c>
      <c r="L461" s="261">
        <f t="shared" si="50"/>
        <v>0</v>
      </c>
      <c r="M461" s="14"/>
    </row>
    <row r="462" spans="1:13" ht="38.25" x14ac:dyDescent="0.3">
      <c r="A462" s="69"/>
      <c r="B462" s="8"/>
      <c r="C462" s="82" t="s">
        <v>437</v>
      </c>
      <c r="D462" s="267" t="s">
        <v>24</v>
      </c>
      <c r="E462" s="8" t="s">
        <v>25</v>
      </c>
      <c r="F462" s="89">
        <f>0.6*4.7*0.15</f>
        <v>0.42299999999999999</v>
      </c>
      <c r="G462" s="29">
        <v>2828000</v>
      </c>
      <c r="H462" s="45">
        <v>0.8</v>
      </c>
      <c r="I462" s="31">
        <v>1.1479999999999999</v>
      </c>
      <c r="J462" s="223">
        <f t="shared" si="56"/>
        <v>1099000</v>
      </c>
      <c r="K462" s="32">
        <f t="shared" si="54"/>
        <v>1099000</v>
      </c>
      <c r="L462" s="261">
        <f t="shared" ref="L462:L568" si="57">J462-K462</f>
        <v>0</v>
      </c>
      <c r="M462" s="14"/>
    </row>
    <row r="463" spans="1:13" ht="38.25" x14ac:dyDescent="0.3">
      <c r="A463" s="69"/>
      <c r="B463" s="8"/>
      <c r="C463" s="82" t="s">
        <v>459</v>
      </c>
      <c r="D463" s="271" t="s">
        <v>32</v>
      </c>
      <c r="E463" s="27" t="s">
        <v>23</v>
      </c>
      <c r="F463" s="72">
        <f>4.1*5</f>
        <v>20.5</v>
      </c>
      <c r="G463" s="29">
        <v>215000</v>
      </c>
      <c r="H463" s="45">
        <v>0.8</v>
      </c>
      <c r="I463" s="31">
        <v>1.1479999999999999</v>
      </c>
      <c r="J463" s="223">
        <f t="shared" si="56"/>
        <v>4048000</v>
      </c>
      <c r="K463" s="32">
        <f t="shared" si="54"/>
        <v>4048000</v>
      </c>
      <c r="L463" s="261">
        <f t="shared" si="57"/>
        <v>0</v>
      </c>
      <c r="M463" s="14"/>
    </row>
    <row r="464" spans="1:13" ht="37.5" x14ac:dyDescent="0.3">
      <c r="A464" s="69"/>
      <c r="B464" s="8"/>
      <c r="C464" s="82" t="s">
        <v>836</v>
      </c>
      <c r="D464" s="270" t="s">
        <v>51</v>
      </c>
      <c r="E464" s="27" t="s">
        <v>23</v>
      </c>
      <c r="F464" s="72">
        <f>1.3*5</f>
        <v>6.5</v>
      </c>
      <c r="G464" s="29">
        <v>453000</v>
      </c>
      <c r="H464" s="45">
        <v>0.8</v>
      </c>
      <c r="I464" s="31">
        <v>1.1479999999999999</v>
      </c>
      <c r="J464" s="223">
        <f t="shared" si="56"/>
        <v>2704000</v>
      </c>
      <c r="K464" s="32">
        <f t="shared" si="54"/>
        <v>2704000</v>
      </c>
      <c r="L464" s="261">
        <f t="shared" si="57"/>
        <v>0</v>
      </c>
      <c r="M464" s="14"/>
    </row>
    <row r="465" spans="1:256" ht="39" customHeight="1" x14ac:dyDescent="0.3">
      <c r="A465" s="69"/>
      <c r="B465" s="8"/>
      <c r="C465" s="82" t="s">
        <v>467</v>
      </c>
      <c r="D465" s="270" t="s">
        <v>66</v>
      </c>
      <c r="E465" s="27" t="s">
        <v>23</v>
      </c>
      <c r="F465" s="75">
        <f>1.3*4.7</f>
        <v>6.11</v>
      </c>
      <c r="G465" s="29">
        <v>339000</v>
      </c>
      <c r="H465" s="45">
        <v>0.8</v>
      </c>
      <c r="I465" s="31">
        <v>1.1479999999999999</v>
      </c>
      <c r="J465" s="223">
        <f t="shared" si="56"/>
        <v>1902000</v>
      </c>
      <c r="K465" s="32">
        <f t="shared" si="54"/>
        <v>1902000</v>
      </c>
      <c r="L465" s="261">
        <f t="shared" si="57"/>
        <v>0</v>
      </c>
      <c r="M465" s="14"/>
    </row>
    <row r="466" spans="1:256" ht="39" customHeight="1" x14ac:dyDescent="0.3">
      <c r="A466" s="69"/>
      <c r="B466" s="8"/>
      <c r="C466" s="82" t="s">
        <v>468</v>
      </c>
      <c r="D466" s="270" t="s">
        <v>52</v>
      </c>
      <c r="E466" s="96" t="s">
        <v>91</v>
      </c>
      <c r="F466" s="72">
        <f>5*0.4</f>
        <v>2</v>
      </c>
      <c r="G466" s="11" t="s">
        <v>53</v>
      </c>
      <c r="H466" s="45">
        <v>0.8</v>
      </c>
      <c r="I466" s="31">
        <v>1.1479999999999999</v>
      </c>
      <c r="J466" s="223">
        <f t="shared" si="56"/>
        <v>433000</v>
      </c>
      <c r="K466" s="32">
        <f t="shared" si="54"/>
        <v>433000</v>
      </c>
      <c r="L466" s="261">
        <f t="shared" si="57"/>
        <v>0</v>
      </c>
      <c r="M466" s="14"/>
    </row>
    <row r="467" spans="1:256" ht="37.5" x14ac:dyDescent="0.3">
      <c r="A467" s="69"/>
      <c r="B467" s="8"/>
      <c r="C467" s="82" t="s">
        <v>469</v>
      </c>
      <c r="D467" s="270" t="s">
        <v>29</v>
      </c>
      <c r="E467" s="27" t="s">
        <v>23</v>
      </c>
      <c r="F467" s="72">
        <f>1.3*1.1+1.3*0.8</f>
        <v>2.4700000000000002</v>
      </c>
      <c r="G467" s="29">
        <v>792000</v>
      </c>
      <c r="H467" s="45">
        <v>0.8</v>
      </c>
      <c r="I467" s="31">
        <v>1.1479999999999999</v>
      </c>
      <c r="J467" s="223">
        <f t="shared" si="56"/>
        <v>1797000</v>
      </c>
      <c r="K467" s="32">
        <f t="shared" si="54"/>
        <v>1797000</v>
      </c>
      <c r="L467" s="261">
        <f t="shared" si="57"/>
        <v>0</v>
      </c>
      <c r="M467" s="14"/>
    </row>
    <row r="468" spans="1:256" ht="37.5" x14ac:dyDescent="0.3">
      <c r="A468" s="69"/>
      <c r="B468" s="8"/>
      <c r="C468" s="82" t="s">
        <v>470</v>
      </c>
      <c r="D468" s="270" t="s">
        <v>55</v>
      </c>
      <c r="E468" s="27" t="s">
        <v>23</v>
      </c>
      <c r="F468" s="72">
        <f>1.4*0.8</f>
        <v>1.1199999999999999</v>
      </c>
      <c r="G468" s="29">
        <v>905000</v>
      </c>
      <c r="H468" s="45">
        <v>0.8</v>
      </c>
      <c r="I468" s="79">
        <v>1.1479999999999999</v>
      </c>
      <c r="J468" s="223">
        <f t="shared" si="56"/>
        <v>931000</v>
      </c>
      <c r="K468" s="32">
        <f t="shared" si="54"/>
        <v>931000</v>
      </c>
      <c r="L468" s="261">
        <f t="shared" si="57"/>
        <v>0</v>
      </c>
      <c r="M468" s="14"/>
    </row>
    <row r="469" spans="1:256" ht="41.25" customHeight="1" x14ac:dyDescent="0.3">
      <c r="A469" s="69"/>
      <c r="B469" s="8"/>
      <c r="C469" s="82" t="s">
        <v>471</v>
      </c>
      <c r="D469" s="270" t="s">
        <v>52</v>
      </c>
      <c r="E469" s="27" t="s">
        <v>23</v>
      </c>
      <c r="F469" s="72">
        <f>4.7*0.8</f>
        <v>3.7600000000000002</v>
      </c>
      <c r="G469" s="11" t="s">
        <v>53</v>
      </c>
      <c r="H469" s="45">
        <v>0.8</v>
      </c>
      <c r="I469" s="79">
        <v>1.1479999999999999</v>
      </c>
      <c r="J469" s="223">
        <f t="shared" si="56"/>
        <v>815000</v>
      </c>
      <c r="K469" s="32">
        <f t="shared" si="54"/>
        <v>815000</v>
      </c>
      <c r="L469" s="261">
        <f t="shared" si="57"/>
        <v>0</v>
      </c>
      <c r="M469" s="14"/>
    </row>
    <row r="470" spans="1:256" ht="38.25" x14ac:dyDescent="0.3">
      <c r="A470" s="69"/>
      <c r="B470" s="8"/>
      <c r="C470" s="82" t="s">
        <v>111</v>
      </c>
      <c r="D470" s="271" t="s">
        <v>47</v>
      </c>
      <c r="E470" s="63" t="s">
        <v>45</v>
      </c>
      <c r="F470" s="77">
        <v>10</v>
      </c>
      <c r="G470" s="46">
        <v>28000</v>
      </c>
      <c r="H470" s="45">
        <v>0.8</v>
      </c>
      <c r="I470" s="31">
        <v>1.1479999999999999</v>
      </c>
      <c r="J470" s="223">
        <f t="shared" si="56"/>
        <v>257000</v>
      </c>
      <c r="K470" s="32">
        <f t="shared" si="54"/>
        <v>257000</v>
      </c>
      <c r="L470" s="261">
        <f t="shared" si="57"/>
        <v>0</v>
      </c>
      <c r="M470" s="14"/>
    </row>
    <row r="471" spans="1:256" s="289" customFormat="1" ht="41.25" customHeight="1" x14ac:dyDescent="0.3">
      <c r="A471" s="149">
        <v>19</v>
      </c>
      <c r="B471" s="150" t="s">
        <v>1303</v>
      </c>
      <c r="C471" s="455" t="s">
        <v>1304</v>
      </c>
      <c r="D471" s="456"/>
      <c r="E471" s="456"/>
      <c r="F471" s="456"/>
      <c r="G471" s="456"/>
      <c r="H471" s="456"/>
      <c r="I471" s="457"/>
      <c r="J471" s="221">
        <f>SUM(J472)</f>
        <v>1510488000</v>
      </c>
      <c r="K471" s="32">
        <f t="shared" si="54"/>
        <v>0</v>
      </c>
      <c r="L471" s="334">
        <f t="shared" si="57"/>
        <v>1510488000</v>
      </c>
      <c r="M471" s="24"/>
    </row>
    <row r="472" spans="1:256" s="290" customFormat="1" ht="56.25" x14ac:dyDescent="0.3">
      <c r="A472" s="211"/>
      <c r="B472" s="17"/>
      <c r="C472" s="25" t="s">
        <v>1305</v>
      </c>
      <c r="D472" s="267" t="s">
        <v>112</v>
      </c>
      <c r="E472" s="27" t="s">
        <v>23</v>
      </c>
      <c r="F472" s="35">
        <v>97.2</v>
      </c>
      <c r="G472" s="49">
        <v>11100000</v>
      </c>
      <c r="H472" s="323">
        <v>1</v>
      </c>
      <c r="I472" s="268">
        <v>1.4</v>
      </c>
      <c r="J472" s="32">
        <f>ROUND(F472*G472*H472*I472,-3)</f>
        <v>1510488000</v>
      </c>
      <c r="K472" s="39">
        <f>ROUND(F472*G472*H472*I472,-3)</f>
        <v>1510488000</v>
      </c>
      <c r="L472" s="262">
        <f t="shared" si="57"/>
        <v>0</v>
      </c>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c r="CB472" s="14"/>
      <c r="CC472" s="14"/>
      <c r="CD472" s="14"/>
      <c r="CE472" s="14"/>
      <c r="CF472" s="14"/>
      <c r="CG472" s="14"/>
      <c r="CH472" s="14"/>
      <c r="CI472" s="14"/>
      <c r="CJ472" s="14"/>
      <c r="CK472" s="14"/>
      <c r="CL472" s="14"/>
      <c r="CM472" s="14"/>
      <c r="CN472" s="14"/>
      <c r="CO472" s="14"/>
      <c r="CP472" s="14"/>
      <c r="CQ472" s="14"/>
      <c r="CR472" s="14"/>
      <c r="CS472" s="14"/>
      <c r="CT472" s="14"/>
      <c r="CU472" s="14"/>
      <c r="CV472" s="14"/>
      <c r="CW472" s="14"/>
      <c r="CX472" s="14"/>
      <c r="CY472" s="14"/>
      <c r="CZ472" s="14"/>
      <c r="DA472" s="14"/>
      <c r="DB472" s="14"/>
      <c r="DC472" s="14"/>
      <c r="DD472" s="14"/>
      <c r="DE472" s="14"/>
      <c r="DF472" s="14"/>
      <c r="DG472" s="14"/>
      <c r="DH472" s="14"/>
      <c r="DI472" s="14"/>
      <c r="DJ472" s="14"/>
      <c r="DK472" s="14"/>
      <c r="DL472" s="14"/>
      <c r="DM472" s="14"/>
      <c r="DN472" s="14"/>
      <c r="DO472" s="14"/>
      <c r="DP472" s="14"/>
      <c r="DQ472" s="14"/>
      <c r="DR472" s="14"/>
      <c r="DS472" s="14"/>
      <c r="DT472" s="14"/>
      <c r="DU472" s="14"/>
      <c r="DV472" s="14"/>
      <c r="DW472" s="14"/>
      <c r="DX472" s="14"/>
      <c r="DY472" s="14"/>
      <c r="DZ472" s="14"/>
      <c r="EA472" s="14"/>
      <c r="EB472" s="14"/>
      <c r="EC472" s="14"/>
      <c r="ED472" s="14"/>
      <c r="EE472" s="14"/>
      <c r="EF472" s="14"/>
      <c r="EG472" s="14"/>
      <c r="EH472" s="14"/>
      <c r="EI472" s="14"/>
      <c r="EJ472" s="14"/>
      <c r="EK472" s="14"/>
      <c r="EL472" s="14"/>
      <c r="EM472" s="14"/>
      <c r="EN472" s="14"/>
      <c r="EO472" s="14"/>
      <c r="EP472" s="14"/>
      <c r="EQ472" s="14"/>
      <c r="ER472" s="14"/>
      <c r="ES472" s="14"/>
      <c r="ET472" s="14"/>
      <c r="EU472" s="14"/>
      <c r="EV472" s="14"/>
      <c r="EW472" s="14"/>
      <c r="EX472" s="14"/>
      <c r="EY472" s="14"/>
      <c r="EZ472" s="14"/>
      <c r="FA472" s="14"/>
      <c r="FB472" s="14"/>
      <c r="FC472" s="14"/>
      <c r="FD472" s="14"/>
      <c r="FE472" s="14"/>
      <c r="FF472" s="14"/>
      <c r="FG472" s="14"/>
      <c r="FH472" s="14"/>
      <c r="FI472" s="14"/>
      <c r="FJ472" s="14"/>
      <c r="FK472" s="14"/>
      <c r="FL472" s="14"/>
      <c r="FM472" s="14"/>
      <c r="FN472" s="14"/>
      <c r="FO472" s="14"/>
      <c r="FP472" s="14"/>
      <c r="FQ472" s="14"/>
      <c r="FR472" s="14"/>
      <c r="FS472" s="14"/>
      <c r="FT472" s="14"/>
      <c r="FU472" s="14"/>
      <c r="FV472" s="14"/>
      <c r="FW472" s="14"/>
      <c r="FX472" s="14"/>
      <c r="FY472" s="14"/>
      <c r="FZ472" s="14"/>
      <c r="GA472" s="14"/>
      <c r="GB472" s="14"/>
      <c r="GC472" s="14"/>
      <c r="GD472" s="14"/>
      <c r="GE472" s="14"/>
      <c r="GF472" s="14"/>
      <c r="GG472" s="14"/>
      <c r="GH472" s="14"/>
      <c r="GI472" s="14"/>
      <c r="GJ472" s="14"/>
      <c r="GK472" s="14"/>
      <c r="GL472" s="14"/>
      <c r="GM472" s="14"/>
      <c r="GN472" s="14"/>
      <c r="GO472" s="14"/>
      <c r="GP472" s="14"/>
      <c r="GQ472" s="14"/>
      <c r="GR472" s="14"/>
      <c r="GS472" s="14"/>
      <c r="GT472" s="14"/>
      <c r="GU472" s="14"/>
      <c r="GV472" s="14"/>
      <c r="GW472" s="14"/>
      <c r="GX472" s="14"/>
      <c r="GY472" s="14"/>
      <c r="GZ472" s="14"/>
      <c r="HA472" s="14"/>
      <c r="HB472" s="14"/>
      <c r="HC472" s="14"/>
      <c r="HD472" s="14"/>
      <c r="HE472" s="14"/>
      <c r="HF472" s="14"/>
      <c r="HG472" s="14"/>
      <c r="HH472" s="14"/>
      <c r="HI472" s="14"/>
      <c r="HJ472" s="14"/>
      <c r="HK472" s="14"/>
      <c r="HL472" s="14"/>
      <c r="HM472" s="14"/>
      <c r="HN472" s="14"/>
      <c r="HO472" s="14"/>
      <c r="HP472" s="14"/>
      <c r="HQ472" s="14"/>
      <c r="HR472" s="14"/>
      <c r="HS472" s="14"/>
      <c r="HT472" s="14"/>
      <c r="HU472" s="14"/>
      <c r="HV472" s="14"/>
      <c r="HW472" s="14"/>
      <c r="HX472" s="14"/>
      <c r="HY472" s="14"/>
      <c r="HZ472" s="14"/>
      <c r="IA472" s="14"/>
      <c r="IB472" s="14"/>
      <c r="IC472" s="14"/>
      <c r="ID472" s="14"/>
      <c r="IE472" s="14"/>
      <c r="IF472" s="14"/>
      <c r="IG472" s="14"/>
      <c r="IH472" s="14"/>
      <c r="II472" s="14"/>
      <c r="IJ472" s="14"/>
      <c r="IK472" s="14"/>
      <c r="IL472" s="14"/>
      <c r="IM472" s="14"/>
      <c r="IN472" s="14"/>
      <c r="IO472" s="14"/>
      <c r="IP472" s="14"/>
      <c r="IQ472" s="14"/>
      <c r="IR472" s="14"/>
      <c r="IS472" s="14"/>
      <c r="IT472" s="14"/>
      <c r="IU472" s="14"/>
      <c r="IV472" s="14"/>
    </row>
    <row r="473" spans="1:256" s="289" customFormat="1" ht="90" customHeight="1" x14ac:dyDescent="0.25">
      <c r="A473" s="67"/>
      <c r="B473" s="68"/>
      <c r="C473" s="25" t="s">
        <v>1062</v>
      </c>
      <c r="D473" s="267" t="s">
        <v>112</v>
      </c>
      <c r="E473" s="27" t="s">
        <v>23</v>
      </c>
      <c r="F473" s="35">
        <v>19</v>
      </c>
      <c r="G473" s="464" t="s">
        <v>1063</v>
      </c>
      <c r="H473" s="464"/>
      <c r="I473" s="465"/>
      <c r="J473" s="227"/>
      <c r="K473" s="32"/>
      <c r="L473" s="261">
        <f t="shared" si="57"/>
        <v>0</v>
      </c>
      <c r="M473" s="251"/>
    </row>
    <row r="474" spans="1:256" s="289" customFormat="1" ht="48" customHeight="1" x14ac:dyDescent="0.3">
      <c r="A474" s="149">
        <v>20</v>
      </c>
      <c r="B474" s="150" t="s">
        <v>1306</v>
      </c>
      <c r="C474" s="455" t="s">
        <v>1307</v>
      </c>
      <c r="D474" s="456"/>
      <c r="E474" s="456"/>
      <c r="F474" s="456"/>
      <c r="G474" s="456"/>
      <c r="H474" s="456"/>
      <c r="I474" s="457"/>
      <c r="J474" s="221">
        <f>SUM(J475:J484)</f>
        <v>118938000</v>
      </c>
      <c r="K474" s="32">
        <f t="shared" ref="K474:K513" si="58">ROUND(G474*H474*I474*F474,-3)</f>
        <v>0</v>
      </c>
      <c r="L474" s="261">
        <f t="shared" si="57"/>
        <v>118938000</v>
      </c>
      <c r="M474" s="335"/>
    </row>
    <row r="475" spans="1:256" s="289" customFormat="1" ht="35.25" customHeight="1" x14ac:dyDescent="0.3">
      <c r="A475" s="69"/>
      <c r="B475" s="8"/>
      <c r="C475" s="433" t="s">
        <v>1308</v>
      </c>
      <c r="D475" s="434"/>
      <c r="E475" s="434"/>
      <c r="F475" s="466"/>
      <c r="G475" s="434"/>
      <c r="H475" s="434"/>
      <c r="I475" s="467"/>
      <c r="J475" s="223"/>
      <c r="K475" s="32">
        <f t="shared" si="58"/>
        <v>0</v>
      </c>
      <c r="L475" s="261">
        <f t="shared" si="57"/>
        <v>0</v>
      </c>
      <c r="M475" s="14"/>
    </row>
    <row r="476" spans="1:256" s="169" customFormat="1" ht="81" customHeight="1" x14ac:dyDescent="0.3">
      <c r="A476" s="93"/>
      <c r="B476" s="94"/>
      <c r="C476" s="70" t="s">
        <v>1309</v>
      </c>
      <c r="D476" s="274" t="s">
        <v>85</v>
      </c>
      <c r="E476" s="22" t="s">
        <v>23</v>
      </c>
      <c r="F476" s="99">
        <f>7*3.4</f>
        <v>23.8</v>
      </c>
      <c r="G476" s="100">
        <v>2247000</v>
      </c>
      <c r="H476" s="45">
        <v>1</v>
      </c>
      <c r="I476" s="102">
        <v>1.1479999999999999</v>
      </c>
      <c r="J476" s="222">
        <f t="shared" ref="J476:J484" si="59">ROUND(F476*G476*H476*I476,-3)</f>
        <v>61393000</v>
      </c>
      <c r="K476" s="32">
        <f t="shared" si="58"/>
        <v>61393000</v>
      </c>
      <c r="L476" s="261">
        <f t="shared" si="57"/>
        <v>0</v>
      </c>
      <c r="M476" s="24"/>
    </row>
    <row r="477" spans="1:256" s="289" customFormat="1" ht="36.75" customHeight="1" x14ac:dyDescent="0.3">
      <c r="A477" s="69"/>
      <c r="B477" s="8"/>
      <c r="C477" s="82" t="s">
        <v>1310</v>
      </c>
      <c r="D477" s="270" t="s">
        <v>101</v>
      </c>
      <c r="E477" s="71" t="s">
        <v>23</v>
      </c>
      <c r="F477" s="75">
        <f>3.1*3.2</f>
        <v>9.9200000000000017</v>
      </c>
      <c r="G477" s="29">
        <v>339000</v>
      </c>
      <c r="H477" s="45">
        <v>1</v>
      </c>
      <c r="I477" s="31">
        <v>1.1479999999999999</v>
      </c>
      <c r="J477" s="223">
        <f t="shared" si="59"/>
        <v>3861000</v>
      </c>
      <c r="K477" s="32">
        <f t="shared" si="58"/>
        <v>3861000</v>
      </c>
      <c r="L477" s="261">
        <f t="shared" si="57"/>
        <v>0</v>
      </c>
      <c r="M477" s="158"/>
    </row>
    <row r="478" spans="1:256" s="289" customFormat="1" ht="37.5" x14ac:dyDescent="0.3">
      <c r="A478" s="69"/>
      <c r="B478" s="8"/>
      <c r="C478" s="82" t="s">
        <v>1311</v>
      </c>
      <c r="D478" s="270" t="s">
        <v>51</v>
      </c>
      <c r="E478" s="27" t="s">
        <v>23</v>
      </c>
      <c r="F478" s="72">
        <f>8.9*4.3+1.5*4.3+3.4*1.2</f>
        <v>48.8</v>
      </c>
      <c r="G478" s="29">
        <v>453000</v>
      </c>
      <c r="H478" s="45">
        <v>1</v>
      </c>
      <c r="I478" s="31">
        <v>1.1479999999999999</v>
      </c>
      <c r="J478" s="223">
        <f t="shared" si="59"/>
        <v>25378000</v>
      </c>
      <c r="K478" s="32">
        <f t="shared" si="58"/>
        <v>25378000</v>
      </c>
      <c r="L478" s="261">
        <f t="shared" si="57"/>
        <v>0</v>
      </c>
      <c r="M478" s="14"/>
    </row>
    <row r="479" spans="1:256" s="289" customFormat="1" ht="38.25" x14ac:dyDescent="0.3">
      <c r="A479" s="69"/>
      <c r="B479" s="8"/>
      <c r="C479" s="82" t="s">
        <v>1312</v>
      </c>
      <c r="D479" s="271" t="s">
        <v>32</v>
      </c>
      <c r="E479" s="27" t="s">
        <v>23</v>
      </c>
      <c r="F479" s="72">
        <f>8.9*4.3</f>
        <v>38.270000000000003</v>
      </c>
      <c r="G479" s="29">
        <v>215000</v>
      </c>
      <c r="H479" s="45">
        <v>1</v>
      </c>
      <c r="I479" s="31">
        <v>1.1479999999999999</v>
      </c>
      <c r="J479" s="223">
        <f t="shared" si="59"/>
        <v>9446000</v>
      </c>
      <c r="K479" s="32">
        <f t="shared" si="58"/>
        <v>9446000</v>
      </c>
      <c r="L479" s="261">
        <f t="shared" si="57"/>
        <v>0</v>
      </c>
      <c r="M479" s="14"/>
    </row>
    <row r="480" spans="1:256" s="289" customFormat="1" ht="38.25" x14ac:dyDescent="0.3">
      <c r="A480" s="69"/>
      <c r="B480" s="8"/>
      <c r="C480" s="82" t="s">
        <v>1313</v>
      </c>
      <c r="D480" s="271" t="s">
        <v>32</v>
      </c>
      <c r="E480" s="27" t="s">
        <v>23</v>
      </c>
      <c r="F480" s="72">
        <f>7.7*4.5</f>
        <v>34.65</v>
      </c>
      <c r="G480" s="29">
        <v>215000</v>
      </c>
      <c r="H480" s="45">
        <v>0.8</v>
      </c>
      <c r="I480" s="31">
        <v>1.1479999999999999</v>
      </c>
      <c r="J480" s="223">
        <f t="shared" si="59"/>
        <v>6842000</v>
      </c>
      <c r="K480" s="32">
        <f t="shared" si="58"/>
        <v>6842000</v>
      </c>
      <c r="L480" s="261">
        <f t="shared" si="57"/>
        <v>0</v>
      </c>
      <c r="M480" s="14"/>
    </row>
    <row r="481" spans="1:13" s="289" customFormat="1" ht="25.5" x14ac:dyDescent="0.3">
      <c r="A481" s="69"/>
      <c r="B481" s="8"/>
      <c r="C481" s="82" t="s">
        <v>1314</v>
      </c>
      <c r="D481" s="271" t="s">
        <v>54</v>
      </c>
      <c r="E481" s="27" t="s">
        <v>23</v>
      </c>
      <c r="F481" s="72">
        <f>4.3*3</f>
        <v>12.899999999999999</v>
      </c>
      <c r="G481" s="46">
        <v>213000</v>
      </c>
      <c r="H481" s="45">
        <v>1</v>
      </c>
      <c r="I481" s="79">
        <v>1.1479999999999999</v>
      </c>
      <c r="J481" s="223">
        <f t="shared" si="59"/>
        <v>3154000</v>
      </c>
      <c r="K481" s="32">
        <f t="shared" si="58"/>
        <v>3154000</v>
      </c>
      <c r="L481" s="261">
        <f t="shared" si="57"/>
        <v>0</v>
      </c>
      <c r="M481" s="14"/>
    </row>
    <row r="482" spans="1:13" s="289" customFormat="1" ht="38.25" x14ac:dyDescent="0.3">
      <c r="A482" s="69"/>
      <c r="B482" s="8"/>
      <c r="C482" s="82" t="s">
        <v>1315</v>
      </c>
      <c r="D482" s="267" t="s">
        <v>207</v>
      </c>
      <c r="E482" s="71" t="s">
        <v>23</v>
      </c>
      <c r="F482" s="72">
        <f>4.3*3</f>
        <v>12.899999999999999</v>
      </c>
      <c r="G482" s="29">
        <v>566000</v>
      </c>
      <c r="H482" s="45">
        <v>1</v>
      </c>
      <c r="I482" s="31">
        <v>1.1479999999999999</v>
      </c>
      <c r="J482" s="223">
        <f t="shared" si="59"/>
        <v>8382000</v>
      </c>
      <c r="K482" s="32">
        <f t="shared" si="58"/>
        <v>8382000</v>
      </c>
      <c r="L482" s="261">
        <f t="shared" si="57"/>
        <v>0</v>
      </c>
      <c r="M482" s="14"/>
    </row>
    <row r="483" spans="1:13" s="289" customFormat="1" ht="38.25" x14ac:dyDescent="0.3">
      <c r="A483" s="69"/>
      <c r="B483" s="8"/>
      <c r="C483" s="82" t="s">
        <v>1242</v>
      </c>
      <c r="D483" s="273" t="s">
        <v>44</v>
      </c>
      <c r="E483" s="63" t="s">
        <v>45</v>
      </c>
      <c r="F483" s="77">
        <v>7.5</v>
      </c>
      <c r="G483" s="46">
        <v>28000</v>
      </c>
      <c r="H483" s="45">
        <v>1</v>
      </c>
      <c r="I483" s="31">
        <v>1.1479999999999999</v>
      </c>
      <c r="J483" s="223">
        <f t="shared" si="59"/>
        <v>241000</v>
      </c>
      <c r="K483" s="32">
        <f t="shared" si="58"/>
        <v>241000</v>
      </c>
      <c r="L483" s="261">
        <f t="shared" si="57"/>
        <v>0</v>
      </c>
      <c r="M483" s="14"/>
    </row>
    <row r="484" spans="1:13" s="289" customFormat="1" ht="38.25" x14ac:dyDescent="0.3">
      <c r="A484" s="69"/>
      <c r="B484" s="8"/>
      <c r="C484" s="82" t="s">
        <v>211</v>
      </c>
      <c r="D484" s="271" t="s">
        <v>47</v>
      </c>
      <c r="E484" s="63" t="s">
        <v>45</v>
      </c>
      <c r="F484" s="77">
        <v>7.5</v>
      </c>
      <c r="G484" s="46">
        <v>28000</v>
      </c>
      <c r="H484" s="45">
        <v>1</v>
      </c>
      <c r="I484" s="31">
        <v>1.1479999999999999</v>
      </c>
      <c r="J484" s="223">
        <f t="shared" si="59"/>
        <v>241000</v>
      </c>
      <c r="K484" s="32">
        <f t="shared" si="58"/>
        <v>241000</v>
      </c>
      <c r="L484" s="261">
        <f t="shared" si="57"/>
        <v>0</v>
      </c>
      <c r="M484" s="14"/>
    </row>
    <row r="485" spans="1:13" s="289" customFormat="1" ht="49.5" customHeight="1" x14ac:dyDescent="0.3">
      <c r="A485" s="149">
        <v>21</v>
      </c>
      <c r="B485" s="150" t="s">
        <v>1316</v>
      </c>
      <c r="C485" s="455" t="s">
        <v>1317</v>
      </c>
      <c r="D485" s="456"/>
      <c r="E485" s="456"/>
      <c r="F485" s="456"/>
      <c r="G485" s="456"/>
      <c r="H485" s="456"/>
      <c r="I485" s="457"/>
      <c r="J485" s="221">
        <f>SUM(J486:J496)</f>
        <v>160908000</v>
      </c>
      <c r="K485" s="32">
        <f t="shared" si="58"/>
        <v>0</v>
      </c>
      <c r="L485" s="263"/>
      <c r="M485" s="335"/>
    </row>
    <row r="486" spans="1:13" s="289" customFormat="1" ht="27" customHeight="1" x14ac:dyDescent="0.3">
      <c r="A486" s="69"/>
      <c r="B486" s="8"/>
      <c r="C486" s="433" t="s">
        <v>1308</v>
      </c>
      <c r="D486" s="434"/>
      <c r="E486" s="434"/>
      <c r="F486" s="466"/>
      <c r="G486" s="434"/>
      <c r="H486" s="434"/>
      <c r="I486" s="467"/>
      <c r="J486" s="223"/>
      <c r="K486" s="32">
        <f t="shared" si="58"/>
        <v>0</v>
      </c>
      <c r="L486" s="263"/>
      <c r="M486" s="14"/>
    </row>
    <row r="487" spans="1:13" s="289" customFormat="1" ht="78" customHeight="1" x14ac:dyDescent="0.3">
      <c r="A487" s="69"/>
      <c r="B487" s="8"/>
      <c r="C487" s="82" t="s">
        <v>1318</v>
      </c>
      <c r="D487" s="274" t="s">
        <v>148</v>
      </c>
      <c r="E487" s="27" t="s">
        <v>23</v>
      </c>
      <c r="F487" s="75">
        <f>3.5*8.5</f>
        <v>29.75</v>
      </c>
      <c r="G487" s="29">
        <v>3564000</v>
      </c>
      <c r="H487" s="45">
        <v>1</v>
      </c>
      <c r="I487" s="102">
        <v>1.1479999999999999</v>
      </c>
      <c r="J487" s="223">
        <f t="shared" ref="J487:J496" si="60">ROUND(F487*G487*H487*I487,-3)</f>
        <v>121721000</v>
      </c>
      <c r="K487" s="32">
        <f t="shared" si="58"/>
        <v>121721000</v>
      </c>
      <c r="L487" s="336">
        <f t="shared" ref="L487:L502" si="61">J487-K487</f>
        <v>0</v>
      </c>
      <c r="M487" s="14"/>
    </row>
    <row r="488" spans="1:13" s="289" customFormat="1" ht="37.5" customHeight="1" x14ac:dyDescent="0.3">
      <c r="A488" s="69"/>
      <c r="B488" s="8"/>
      <c r="C488" s="82" t="s">
        <v>1319</v>
      </c>
      <c r="D488" s="270" t="s">
        <v>52</v>
      </c>
      <c r="E488" s="71" t="s">
        <v>23</v>
      </c>
      <c r="F488" s="72">
        <f>6.5*3.3+5.8*3.3</f>
        <v>40.589999999999996</v>
      </c>
      <c r="G488" s="11" t="s">
        <v>53</v>
      </c>
      <c r="H488" s="45">
        <v>1</v>
      </c>
      <c r="I488" s="31">
        <v>1.1479999999999999</v>
      </c>
      <c r="J488" s="223">
        <f t="shared" si="60"/>
        <v>10997000</v>
      </c>
      <c r="K488" s="32">
        <f t="shared" si="58"/>
        <v>10997000</v>
      </c>
      <c r="L488" s="337">
        <f t="shared" si="61"/>
        <v>0</v>
      </c>
      <c r="M488" s="158"/>
    </row>
    <row r="489" spans="1:13" s="289" customFormat="1" ht="37.5" customHeight="1" x14ac:dyDescent="0.3">
      <c r="A489" s="69"/>
      <c r="B489" s="8"/>
      <c r="C489" s="82" t="s">
        <v>1320</v>
      </c>
      <c r="D489" s="271" t="s">
        <v>225</v>
      </c>
      <c r="E489" s="96" t="s">
        <v>91</v>
      </c>
      <c r="F489" s="72">
        <f>6*3.5</f>
        <v>21</v>
      </c>
      <c r="G489" s="29">
        <v>527000</v>
      </c>
      <c r="H489" s="338">
        <v>1</v>
      </c>
      <c r="I489" s="151">
        <v>1.1479999999999999</v>
      </c>
      <c r="J489" s="223">
        <f t="shared" si="60"/>
        <v>12705000</v>
      </c>
      <c r="K489" s="32">
        <f t="shared" si="58"/>
        <v>12705000</v>
      </c>
      <c r="L489" s="339">
        <f t="shared" si="61"/>
        <v>0</v>
      </c>
      <c r="M489" s="137" t="s">
        <v>1321</v>
      </c>
    </row>
    <row r="490" spans="1:13" s="289" customFormat="1" ht="37.5" customHeight="1" x14ac:dyDescent="0.3">
      <c r="A490" s="69"/>
      <c r="B490" s="8"/>
      <c r="C490" s="82" t="s">
        <v>1322</v>
      </c>
      <c r="D490" s="272" t="s">
        <v>33</v>
      </c>
      <c r="E490" s="27" t="s">
        <v>23</v>
      </c>
      <c r="F490" s="89">
        <f>3.5*0.8</f>
        <v>2.8000000000000003</v>
      </c>
      <c r="G490" s="29">
        <v>453000</v>
      </c>
      <c r="H490" s="45">
        <v>1</v>
      </c>
      <c r="I490" s="31">
        <v>1.1479999999999999</v>
      </c>
      <c r="J490" s="223">
        <f t="shared" si="60"/>
        <v>1456000</v>
      </c>
      <c r="K490" s="32">
        <f t="shared" si="58"/>
        <v>1456000</v>
      </c>
      <c r="L490" s="339">
        <f t="shared" si="61"/>
        <v>0</v>
      </c>
      <c r="M490" s="14"/>
    </row>
    <row r="491" spans="1:13" s="289" customFormat="1" ht="37.5" customHeight="1" x14ac:dyDescent="0.3">
      <c r="A491" s="69"/>
      <c r="B491" s="8"/>
      <c r="C491" s="82" t="s">
        <v>1323</v>
      </c>
      <c r="D491" s="272" t="s">
        <v>33</v>
      </c>
      <c r="E491" s="27" t="s">
        <v>23</v>
      </c>
      <c r="F491" s="89">
        <f>13.5*1</f>
        <v>13.5</v>
      </c>
      <c r="G491" s="29">
        <v>453000</v>
      </c>
      <c r="H491" s="45">
        <v>1</v>
      </c>
      <c r="I491" s="31">
        <v>1.1479999999999999</v>
      </c>
      <c r="J491" s="223">
        <f t="shared" si="60"/>
        <v>7021000</v>
      </c>
      <c r="K491" s="32">
        <f t="shared" si="58"/>
        <v>7021000</v>
      </c>
      <c r="L491" s="339">
        <f t="shared" si="61"/>
        <v>0</v>
      </c>
      <c r="M491" s="14"/>
    </row>
    <row r="492" spans="1:13" s="289" customFormat="1" ht="25.5" x14ac:dyDescent="0.3">
      <c r="A492" s="69"/>
      <c r="B492" s="8"/>
      <c r="C492" s="82" t="s">
        <v>1324</v>
      </c>
      <c r="D492" s="270" t="s">
        <v>31</v>
      </c>
      <c r="E492" s="27" t="s">
        <v>23</v>
      </c>
      <c r="F492" s="75">
        <f>0.9*3.5</f>
        <v>3.15</v>
      </c>
      <c r="G492" s="29">
        <v>339000</v>
      </c>
      <c r="H492" s="45">
        <v>0.8</v>
      </c>
      <c r="I492" s="31">
        <v>1.1479999999999999</v>
      </c>
      <c r="J492" s="223">
        <f t="shared" si="60"/>
        <v>981000</v>
      </c>
      <c r="K492" s="32">
        <f t="shared" si="58"/>
        <v>981000</v>
      </c>
      <c r="L492" s="339">
        <f t="shared" si="61"/>
        <v>0</v>
      </c>
      <c r="M492" s="14"/>
    </row>
    <row r="493" spans="1:13" s="289" customFormat="1" ht="38.25" x14ac:dyDescent="0.3">
      <c r="A493" s="69"/>
      <c r="B493" s="8"/>
      <c r="C493" s="82" t="s">
        <v>1325</v>
      </c>
      <c r="D493" s="271" t="s">
        <v>32</v>
      </c>
      <c r="E493" s="27" t="s">
        <v>23</v>
      </c>
      <c r="F493" s="72">
        <f>4.5*3.5</f>
        <v>15.75</v>
      </c>
      <c r="G493" s="29">
        <v>215000</v>
      </c>
      <c r="H493" s="45">
        <v>0.8</v>
      </c>
      <c r="I493" s="31">
        <v>1.1479999999999999</v>
      </c>
      <c r="J493" s="223">
        <f t="shared" si="60"/>
        <v>3110000</v>
      </c>
      <c r="K493" s="32">
        <f>ROUND(G493*H493*I493*F493,-3)</f>
        <v>3110000</v>
      </c>
      <c r="L493" s="339">
        <f t="shared" si="61"/>
        <v>0</v>
      </c>
      <c r="M493" s="14"/>
    </row>
    <row r="494" spans="1:13" s="289" customFormat="1" ht="37.5" x14ac:dyDescent="0.3">
      <c r="A494" s="69"/>
      <c r="B494" s="8"/>
      <c r="C494" s="82" t="s">
        <v>1326</v>
      </c>
      <c r="D494" s="270" t="s">
        <v>51</v>
      </c>
      <c r="E494" s="27" t="s">
        <v>23</v>
      </c>
      <c r="F494" s="72">
        <f>3.5*1</f>
        <v>3.5</v>
      </c>
      <c r="G494" s="29">
        <v>453000</v>
      </c>
      <c r="H494" s="45">
        <v>1</v>
      </c>
      <c r="I494" s="31">
        <v>1.1479999999999999</v>
      </c>
      <c r="J494" s="223">
        <f t="shared" si="60"/>
        <v>1820000</v>
      </c>
      <c r="K494" s="32">
        <f t="shared" si="58"/>
        <v>1820000</v>
      </c>
      <c r="L494" s="339">
        <f t="shared" si="61"/>
        <v>0</v>
      </c>
      <c r="M494" s="14"/>
    </row>
    <row r="495" spans="1:13" s="289" customFormat="1" ht="25.5" x14ac:dyDescent="0.3">
      <c r="A495" s="69"/>
      <c r="B495" s="8"/>
      <c r="C495" s="82" t="s">
        <v>1327</v>
      </c>
      <c r="D495" s="271" t="s">
        <v>54</v>
      </c>
      <c r="E495" s="27" t="s">
        <v>23</v>
      </c>
      <c r="F495" s="72">
        <f>3.5*1</f>
        <v>3.5</v>
      </c>
      <c r="G495" s="46">
        <v>213000</v>
      </c>
      <c r="H495" s="45">
        <v>1</v>
      </c>
      <c r="I495" s="57">
        <v>1.1479999999999999</v>
      </c>
      <c r="J495" s="223">
        <f t="shared" si="60"/>
        <v>856000</v>
      </c>
      <c r="K495" s="32">
        <f t="shared" si="58"/>
        <v>856000</v>
      </c>
      <c r="L495" s="261">
        <f t="shared" si="61"/>
        <v>0</v>
      </c>
      <c r="M495" s="14"/>
    </row>
    <row r="496" spans="1:13" s="289" customFormat="1" ht="38.25" x14ac:dyDescent="0.3">
      <c r="A496" s="69"/>
      <c r="B496" s="8"/>
      <c r="C496" s="82" t="s">
        <v>211</v>
      </c>
      <c r="D496" s="271" t="s">
        <v>47</v>
      </c>
      <c r="E496" s="63" t="s">
        <v>45</v>
      </c>
      <c r="F496" s="77">
        <v>7.5</v>
      </c>
      <c r="G496" s="46">
        <v>28000</v>
      </c>
      <c r="H496" s="45">
        <v>1</v>
      </c>
      <c r="I496" s="31">
        <v>1.1479999999999999</v>
      </c>
      <c r="J496" s="223">
        <f t="shared" si="60"/>
        <v>241000</v>
      </c>
      <c r="K496" s="32">
        <f t="shared" si="58"/>
        <v>241000</v>
      </c>
      <c r="L496" s="261">
        <f t="shared" si="61"/>
        <v>0</v>
      </c>
      <c r="M496" s="14"/>
    </row>
    <row r="497" spans="1:13" s="289" customFormat="1" ht="57" customHeight="1" x14ac:dyDescent="0.3">
      <c r="A497" s="149">
        <v>22</v>
      </c>
      <c r="B497" s="150" t="s">
        <v>1328</v>
      </c>
      <c r="C497" s="455" t="s">
        <v>1329</v>
      </c>
      <c r="D497" s="456"/>
      <c r="E497" s="456"/>
      <c r="F497" s="456"/>
      <c r="G497" s="456"/>
      <c r="H497" s="456"/>
      <c r="I497" s="457"/>
      <c r="J497" s="221">
        <f>SUM(J498:J513)</f>
        <v>325824000</v>
      </c>
      <c r="K497" s="32">
        <f t="shared" si="58"/>
        <v>0</v>
      </c>
      <c r="L497" s="261">
        <f t="shared" si="61"/>
        <v>325824000</v>
      </c>
      <c r="M497" s="335"/>
    </row>
    <row r="498" spans="1:13" s="289" customFormat="1" ht="45" customHeight="1" x14ac:dyDescent="0.3">
      <c r="A498" s="69"/>
      <c r="B498" s="8"/>
      <c r="C498" s="433" t="s">
        <v>1308</v>
      </c>
      <c r="D498" s="434"/>
      <c r="E498" s="434"/>
      <c r="F498" s="466"/>
      <c r="G498" s="434"/>
      <c r="H498" s="434"/>
      <c r="I498" s="467"/>
      <c r="J498" s="223"/>
      <c r="K498" s="32">
        <f t="shared" si="58"/>
        <v>0</v>
      </c>
      <c r="L498" s="261">
        <f t="shared" si="61"/>
        <v>0</v>
      </c>
      <c r="M498" s="14"/>
    </row>
    <row r="499" spans="1:13" s="289" customFormat="1" ht="72" customHeight="1" x14ac:dyDescent="0.3">
      <c r="A499" s="69"/>
      <c r="B499" s="8"/>
      <c r="C499" s="82" t="s">
        <v>1330</v>
      </c>
      <c r="D499" s="274" t="s">
        <v>1331</v>
      </c>
      <c r="E499" s="27" t="s">
        <v>23</v>
      </c>
      <c r="F499" s="75">
        <f>4.2*10.9</f>
        <v>45.78</v>
      </c>
      <c r="G499" s="29">
        <v>4758000</v>
      </c>
      <c r="H499" s="45">
        <v>1</v>
      </c>
      <c r="I499" s="102">
        <v>1.1479999999999999</v>
      </c>
      <c r="J499" s="223">
        <f t="shared" ref="J499:J513" si="62">ROUND(F499*G499*H499*I499,-3)</f>
        <v>250059000</v>
      </c>
      <c r="K499" s="32">
        <f t="shared" si="58"/>
        <v>250059000</v>
      </c>
      <c r="L499" s="261">
        <f t="shared" si="61"/>
        <v>0</v>
      </c>
      <c r="M499" s="14"/>
    </row>
    <row r="500" spans="1:13" s="289" customFormat="1" ht="36" customHeight="1" x14ac:dyDescent="0.3">
      <c r="A500" s="69"/>
      <c r="B500" s="8"/>
      <c r="C500" s="82" t="s">
        <v>1332</v>
      </c>
      <c r="D500" s="271" t="s">
        <v>54</v>
      </c>
      <c r="E500" s="27" t="s">
        <v>23</v>
      </c>
      <c r="F500" s="72">
        <f>4.1*10.6</f>
        <v>43.459999999999994</v>
      </c>
      <c r="G500" s="46">
        <v>213000</v>
      </c>
      <c r="H500" s="45">
        <v>1</v>
      </c>
      <c r="I500" s="79">
        <v>1.1479999999999999</v>
      </c>
      <c r="J500" s="223">
        <f t="shared" si="62"/>
        <v>10627000</v>
      </c>
      <c r="K500" s="32">
        <f t="shared" si="58"/>
        <v>10627000</v>
      </c>
      <c r="L500" s="261">
        <f t="shared" si="61"/>
        <v>0</v>
      </c>
      <c r="M500" s="158"/>
    </row>
    <row r="501" spans="1:13" s="289" customFormat="1" ht="36" customHeight="1" x14ac:dyDescent="0.3">
      <c r="A501" s="69"/>
      <c r="B501" s="8"/>
      <c r="C501" s="82" t="s">
        <v>1333</v>
      </c>
      <c r="D501" s="271" t="s">
        <v>225</v>
      </c>
      <c r="E501" s="96" t="s">
        <v>91</v>
      </c>
      <c r="F501" s="72">
        <f>5.8*4.2</f>
        <v>24.36</v>
      </c>
      <c r="G501" s="340">
        <v>527000</v>
      </c>
      <c r="H501" s="45">
        <v>1</v>
      </c>
      <c r="I501" s="151">
        <v>1.1479999999999999</v>
      </c>
      <c r="J501" s="223">
        <f t="shared" si="62"/>
        <v>14738000</v>
      </c>
      <c r="K501" s="32">
        <f t="shared" si="58"/>
        <v>14738000</v>
      </c>
      <c r="L501" s="261">
        <f t="shared" si="61"/>
        <v>0</v>
      </c>
      <c r="M501" s="341" t="s">
        <v>1334</v>
      </c>
    </row>
    <row r="502" spans="1:13" s="289" customFormat="1" ht="36" customHeight="1" x14ac:dyDescent="0.3">
      <c r="A502" s="69"/>
      <c r="B502" s="8"/>
      <c r="C502" s="160" t="s">
        <v>1335</v>
      </c>
      <c r="D502" s="275" t="s">
        <v>54</v>
      </c>
      <c r="E502" s="22" t="s">
        <v>23</v>
      </c>
      <c r="F502" s="89">
        <f>19.7*0.9+2.9*0.9</f>
        <v>20.34</v>
      </c>
      <c r="G502" s="100">
        <v>213000</v>
      </c>
      <c r="H502" s="45">
        <v>1</v>
      </c>
      <c r="I502" s="102">
        <v>1.1479999999999999</v>
      </c>
      <c r="J502" s="222">
        <f t="shared" si="62"/>
        <v>4974000</v>
      </c>
      <c r="K502" s="32">
        <f t="shared" si="58"/>
        <v>4974000</v>
      </c>
      <c r="L502" s="261">
        <f t="shared" si="61"/>
        <v>0</v>
      </c>
      <c r="M502" s="341" t="s">
        <v>1336</v>
      </c>
    </row>
    <row r="503" spans="1:13" s="289" customFormat="1" ht="36" customHeight="1" x14ac:dyDescent="0.3">
      <c r="A503" s="69"/>
      <c r="B503" s="8"/>
      <c r="C503" s="82" t="s">
        <v>1337</v>
      </c>
      <c r="D503" s="270" t="s">
        <v>101</v>
      </c>
      <c r="E503" s="27" t="s">
        <v>23</v>
      </c>
      <c r="F503" s="72">
        <f>(1.3*2.05)*2</f>
        <v>5.33</v>
      </c>
      <c r="G503" s="29">
        <v>339000</v>
      </c>
      <c r="H503" s="45">
        <v>1</v>
      </c>
      <c r="I503" s="79">
        <v>1.1479999999999999</v>
      </c>
      <c r="J503" s="223">
        <f t="shared" si="62"/>
        <v>2074000</v>
      </c>
      <c r="K503" s="32">
        <f t="shared" si="58"/>
        <v>2074000</v>
      </c>
      <c r="L503" s="263"/>
      <c r="M503" s="14"/>
    </row>
    <row r="504" spans="1:13" s="289" customFormat="1" ht="36" customHeight="1" x14ac:dyDescent="0.3">
      <c r="A504" s="69"/>
      <c r="B504" s="8"/>
      <c r="C504" s="82" t="s">
        <v>1338</v>
      </c>
      <c r="D504" s="271" t="s">
        <v>225</v>
      </c>
      <c r="E504" s="96" t="s">
        <v>91</v>
      </c>
      <c r="F504" s="72">
        <f>8.5*1.1</f>
        <v>9.3500000000000014</v>
      </c>
      <c r="G504" s="29">
        <v>527000</v>
      </c>
      <c r="H504" s="45">
        <v>1</v>
      </c>
      <c r="I504" s="151">
        <v>1.1479999999999999</v>
      </c>
      <c r="J504" s="223">
        <f t="shared" si="62"/>
        <v>5657000</v>
      </c>
      <c r="K504" s="32">
        <f t="shared" si="58"/>
        <v>5657000</v>
      </c>
      <c r="L504" s="263"/>
      <c r="M504" s="14"/>
    </row>
    <row r="505" spans="1:13" s="289" customFormat="1" ht="36" customHeight="1" x14ac:dyDescent="0.3">
      <c r="A505" s="69"/>
      <c r="B505" s="8"/>
      <c r="C505" s="82" t="s">
        <v>1339</v>
      </c>
      <c r="D505" s="270" t="s">
        <v>52</v>
      </c>
      <c r="E505" s="27" t="s">
        <v>23</v>
      </c>
      <c r="F505" s="72">
        <f>10.9*6+5.1*3</f>
        <v>80.7</v>
      </c>
      <c r="G505" s="11" t="s">
        <v>53</v>
      </c>
      <c r="H505" s="45">
        <v>1</v>
      </c>
      <c r="I505" s="79">
        <v>1.1479999999999999</v>
      </c>
      <c r="J505" s="223">
        <f t="shared" si="62"/>
        <v>21864000</v>
      </c>
      <c r="K505" s="32">
        <f t="shared" si="58"/>
        <v>21864000</v>
      </c>
      <c r="L505" s="262">
        <f t="shared" ref="L505:L510" si="63">J505-K505</f>
        <v>0</v>
      </c>
      <c r="M505" s="14"/>
    </row>
    <row r="506" spans="1:13" s="289" customFormat="1" ht="36" customHeight="1" x14ac:dyDescent="0.3">
      <c r="A506" s="69"/>
      <c r="B506" s="8"/>
      <c r="C506" s="82" t="s">
        <v>1340</v>
      </c>
      <c r="D506" s="267" t="s">
        <v>24</v>
      </c>
      <c r="E506" s="8" t="s">
        <v>25</v>
      </c>
      <c r="F506" s="89">
        <f>0.3*4.2*0.1+0.6*4.2*0.1</f>
        <v>0.378</v>
      </c>
      <c r="G506" s="29">
        <v>2828000</v>
      </c>
      <c r="H506" s="45">
        <v>1</v>
      </c>
      <c r="I506" s="31">
        <v>1.1479999999999999</v>
      </c>
      <c r="J506" s="223">
        <f t="shared" si="62"/>
        <v>1227000</v>
      </c>
      <c r="K506" s="32">
        <f t="shared" si="58"/>
        <v>1227000</v>
      </c>
      <c r="L506" s="261">
        <f t="shared" si="63"/>
        <v>0</v>
      </c>
      <c r="M506" s="14"/>
    </row>
    <row r="507" spans="1:13" s="289" customFormat="1" ht="36" customHeight="1" x14ac:dyDescent="0.3">
      <c r="A507" s="69"/>
      <c r="B507" s="8"/>
      <c r="C507" s="82" t="s">
        <v>1341</v>
      </c>
      <c r="D507" s="267" t="s">
        <v>95</v>
      </c>
      <c r="E507" s="71" t="s">
        <v>25</v>
      </c>
      <c r="F507" s="72">
        <f>3*0.2*0.3</f>
        <v>0.18000000000000002</v>
      </c>
      <c r="G507" s="11">
        <v>1000000</v>
      </c>
      <c r="H507" s="45">
        <v>1</v>
      </c>
      <c r="I507" s="31">
        <v>1.1479999999999999</v>
      </c>
      <c r="J507" s="223">
        <f t="shared" si="62"/>
        <v>207000</v>
      </c>
      <c r="K507" s="32">
        <f t="shared" si="58"/>
        <v>207000</v>
      </c>
      <c r="L507" s="261">
        <f t="shared" si="63"/>
        <v>0</v>
      </c>
      <c r="M507" s="14"/>
    </row>
    <row r="508" spans="1:13" s="289" customFormat="1" ht="36" customHeight="1" x14ac:dyDescent="0.3">
      <c r="A508" s="69"/>
      <c r="B508" s="8"/>
      <c r="C508" s="82" t="s">
        <v>1342</v>
      </c>
      <c r="D508" s="270" t="s">
        <v>66</v>
      </c>
      <c r="E508" s="27" t="s">
        <v>23</v>
      </c>
      <c r="F508" s="72">
        <f>3*0.3</f>
        <v>0.89999999999999991</v>
      </c>
      <c r="G508" s="29">
        <v>339000</v>
      </c>
      <c r="H508" s="45">
        <v>1</v>
      </c>
      <c r="I508" s="31">
        <v>1.1479999999999999</v>
      </c>
      <c r="J508" s="223">
        <f t="shared" si="62"/>
        <v>350000</v>
      </c>
      <c r="K508" s="32">
        <f t="shared" si="58"/>
        <v>350000</v>
      </c>
      <c r="L508" s="261">
        <f t="shared" si="63"/>
        <v>0</v>
      </c>
      <c r="M508" s="14"/>
    </row>
    <row r="509" spans="1:13" s="289" customFormat="1" ht="36" customHeight="1" x14ac:dyDescent="0.3">
      <c r="A509" s="69"/>
      <c r="B509" s="8"/>
      <c r="C509" s="82" t="s">
        <v>1343</v>
      </c>
      <c r="D509" s="270" t="s">
        <v>28</v>
      </c>
      <c r="E509" s="27" t="s">
        <v>23</v>
      </c>
      <c r="F509" s="72">
        <f>3*0.4+2.4*0.6</f>
        <v>2.64</v>
      </c>
      <c r="G509" s="11">
        <v>396000</v>
      </c>
      <c r="H509" s="45">
        <v>1</v>
      </c>
      <c r="I509" s="31">
        <v>1.1479999999999999</v>
      </c>
      <c r="J509" s="223">
        <f t="shared" si="62"/>
        <v>1200000</v>
      </c>
      <c r="K509" s="32">
        <f t="shared" si="58"/>
        <v>1200000</v>
      </c>
      <c r="L509" s="261">
        <f t="shared" si="63"/>
        <v>0</v>
      </c>
      <c r="M509" s="14"/>
    </row>
    <row r="510" spans="1:13" s="289" customFormat="1" ht="37.5" x14ac:dyDescent="0.3">
      <c r="A510" s="69"/>
      <c r="B510" s="8"/>
      <c r="C510" s="82" t="s">
        <v>1344</v>
      </c>
      <c r="D510" s="270" t="s">
        <v>66</v>
      </c>
      <c r="E510" s="27" t="s">
        <v>23</v>
      </c>
      <c r="F510" s="89">
        <f>3.7*0.9+7.5*2.4</f>
        <v>21.33</v>
      </c>
      <c r="G510" s="29">
        <v>339000</v>
      </c>
      <c r="H510" s="45">
        <v>1</v>
      </c>
      <c r="I510" s="102">
        <v>1.1479999999999999</v>
      </c>
      <c r="J510" s="223">
        <f t="shared" si="62"/>
        <v>8301000</v>
      </c>
      <c r="K510" s="32">
        <f t="shared" si="58"/>
        <v>8301000</v>
      </c>
      <c r="L510" s="261">
        <f t="shared" si="63"/>
        <v>0</v>
      </c>
      <c r="M510" s="14"/>
    </row>
    <row r="511" spans="1:13" s="289" customFormat="1" ht="38.25" x14ac:dyDescent="0.3">
      <c r="A511" s="69"/>
      <c r="B511" s="8"/>
      <c r="C511" s="82" t="s">
        <v>1345</v>
      </c>
      <c r="D511" s="271" t="s">
        <v>32</v>
      </c>
      <c r="E511" s="27" t="s">
        <v>23</v>
      </c>
      <c r="F511" s="72">
        <f>4.9*4.2</f>
        <v>20.580000000000002</v>
      </c>
      <c r="G511" s="29">
        <v>215000</v>
      </c>
      <c r="H511" s="45">
        <v>0.8</v>
      </c>
      <c r="I511" s="31">
        <v>1.1479999999999999</v>
      </c>
      <c r="J511" s="223">
        <f t="shared" si="62"/>
        <v>4064000</v>
      </c>
      <c r="K511" s="32">
        <f t="shared" si="58"/>
        <v>4064000</v>
      </c>
      <c r="L511" s="14"/>
      <c r="M511" s="14"/>
    </row>
    <row r="512" spans="1:13" s="289" customFormat="1" ht="38.25" x14ac:dyDescent="0.3">
      <c r="A512" s="69"/>
      <c r="B512" s="8"/>
      <c r="C512" s="82" t="s">
        <v>1242</v>
      </c>
      <c r="D512" s="273" t="s">
        <v>44</v>
      </c>
      <c r="E512" s="63" t="s">
        <v>45</v>
      </c>
      <c r="F512" s="77">
        <v>7.5</v>
      </c>
      <c r="G512" s="46">
        <v>28000</v>
      </c>
      <c r="H512" s="45">
        <v>1</v>
      </c>
      <c r="I512" s="31">
        <v>1.1479999999999999</v>
      </c>
      <c r="J512" s="223">
        <f t="shared" si="62"/>
        <v>241000</v>
      </c>
      <c r="K512" s="32">
        <f t="shared" si="58"/>
        <v>241000</v>
      </c>
      <c r="L512" s="342"/>
      <c r="M512" s="14"/>
    </row>
    <row r="513" spans="1:13" s="289" customFormat="1" ht="38.25" x14ac:dyDescent="0.3">
      <c r="A513" s="69"/>
      <c r="B513" s="8"/>
      <c r="C513" s="82" t="s">
        <v>211</v>
      </c>
      <c r="D513" s="271" t="s">
        <v>47</v>
      </c>
      <c r="E513" s="63" t="s">
        <v>45</v>
      </c>
      <c r="F513" s="77">
        <v>7.5</v>
      </c>
      <c r="G513" s="46">
        <v>28000</v>
      </c>
      <c r="H513" s="45">
        <v>1</v>
      </c>
      <c r="I513" s="31">
        <v>1.1479999999999999</v>
      </c>
      <c r="J513" s="223">
        <f t="shared" si="62"/>
        <v>241000</v>
      </c>
      <c r="K513" s="32">
        <f t="shared" si="58"/>
        <v>241000</v>
      </c>
      <c r="L513" s="261">
        <f>J513-K513</f>
        <v>0</v>
      </c>
      <c r="M513" s="14"/>
    </row>
    <row r="514" spans="1:13" ht="61.5" customHeight="1" x14ac:dyDescent="0.3">
      <c r="A514" s="149">
        <v>21</v>
      </c>
      <c r="B514" s="150" t="s">
        <v>474</v>
      </c>
      <c r="C514" s="455" t="s">
        <v>475</v>
      </c>
      <c r="D514" s="456"/>
      <c r="E514" s="456"/>
      <c r="F514" s="456"/>
      <c r="G514" s="456"/>
      <c r="H514" s="456"/>
      <c r="I514" s="457"/>
      <c r="J514" s="221">
        <f>SUM(J515:J523)</f>
        <v>245538000</v>
      </c>
      <c r="K514" s="32">
        <f t="shared" si="54"/>
        <v>0</v>
      </c>
      <c r="L514" s="261">
        <f t="shared" si="57"/>
        <v>245538000</v>
      </c>
      <c r="M514" s="24"/>
    </row>
    <row r="515" spans="1:13" s="289" customFormat="1" ht="90" customHeight="1" x14ac:dyDescent="0.25">
      <c r="A515" s="67"/>
      <c r="B515" s="68"/>
      <c r="C515" s="25" t="s">
        <v>1062</v>
      </c>
      <c r="D515" s="267" t="s">
        <v>112</v>
      </c>
      <c r="E515" s="27" t="s">
        <v>23</v>
      </c>
      <c r="F515" s="287">
        <v>76.7</v>
      </c>
      <c r="G515" s="458" t="s">
        <v>1064</v>
      </c>
      <c r="H515" s="459"/>
      <c r="I515" s="460"/>
      <c r="J515" s="227"/>
      <c r="K515" s="32"/>
      <c r="L515" s="261">
        <f t="shared" si="57"/>
        <v>0</v>
      </c>
      <c r="M515" s="217">
        <v>74.599999999999994</v>
      </c>
    </row>
    <row r="516" spans="1:13" ht="56.25" x14ac:dyDescent="0.3">
      <c r="A516" s="69"/>
      <c r="B516" s="8"/>
      <c r="C516" s="82" t="s">
        <v>476</v>
      </c>
      <c r="D516" s="274" t="s">
        <v>85</v>
      </c>
      <c r="E516" s="27" t="s">
        <v>23</v>
      </c>
      <c r="F516" s="89">
        <f>9.7*8.8</f>
        <v>85.36</v>
      </c>
      <c r="G516" s="29">
        <v>2247000</v>
      </c>
      <c r="H516" s="45">
        <v>0.8</v>
      </c>
      <c r="I516" s="102">
        <v>1.1479999999999999</v>
      </c>
      <c r="J516" s="223">
        <f t="shared" ref="J516:J523" si="64">ROUND(F516*G516*H516*I516,-3)</f>
        <v>176153000</v>
      </c>
      <c r="K516" s="32">
        <f t="shared" ref="K516:K524" si="65">ROUND(G516*H516*I516*F516,-3)</f>
        <v>176153000</v>
      </c>
      <c r="L516" s="261">
        <f t="shared" si="57"/>
        <v>0</v>
      </c>
      <c r="M516" s="14"/>
    </row>
    <row r="517" spans="1:13" ht="38.25" x14ac:dyDescent="0.3">
      <c r="A517" s="69"/>
      <c r="B517" s="8"/>
      <c r="C517" s="82" t="s">
        <v>477</v>
      </c>
      <c r="D517" s="270" t="s">
        <v>80</v>
      </c>
      <c r="E517" s="71" t="s">
        <v>23</v>
      </c>
      <c r="F517" s="72">
        <f>11.4*3.5</f>
        <v>39.9</v>
      </c>
      <c r="G517" s="29">
        <v>385000</v>
      </c>
      <c r="H517" s="45">
        <v>0.8</v>
      </c>
      <c r="I517" s="31">
        <v>1.1479999999999999</v>
      </c>
      <c r="J517" s="223">
        <f t="shared" si="64"/>
        <v>14108000</v>
      </c>
      <c r="K517" s="32">
        <f t="shared" si="65"/>
        <v>14108000</v>
      </c>
      <c r="L517" s="261">
        <f t="shared" si="57"/>
        <v>0</v>
      </c>
      <c r="M517" s="14"/>
    </row>
    <row r="518" spans="1:13" ht="37.5" x14ac:dyDescent="0.3">
      <c r="A518" s="69"/>
      <c r="B518" s="8"/>
      <c r="C518" s="82" t="s">
        <v>837</v>
      </c>
      <c r="D518" s="270" t="s">
        <v>51</v>
      </c>
      <c r="E518" s="27" t="s">
        <v>23</v>
      </c>
      <c r="F518" s="72">
        <f>9.7*2</f>
        <v>19.399999999999999</v>
      </c>
      <c r="G518" s="29">
        <v>453000</v>
      </c>
      <c r="H518" s="45">
        <v>0.8</v>
      </c>
      <c r="I518" s="31">
        <v>1.1479999999999999</v>
      </c>
      <c r="J518" s="223">
        <f t="shared" si="64"/>
        <v>8071000</v>
      </c>
      <c r="K518" s="32">
        <f t="shared" si="65"/>
        <v>8071000</v>
      </c>
      <c r="L518" s="261">
        <f t="shared" si="57"/>
        <v>0</v>
      </c>
      <c r="M518" s="158"/>
    </row>
    <row r="519" spans="1:13" ht="38.25" x14ac:dyDescent="0.3">
      <c r="A519" s="69"/>
      <c r="B519" s="8"/>
      <c r="C519" s="82" t="s">
        <v>478</v>
      </c>
      <c r="D519" s="271" t="s">
        <v>32</v>
      </c>
      <c r="E519" s="27" t="s">
        <v>23</v>
      </c>
      <c r="F519" s="72">
        <f>9.7*6.5</f>
        <v>63.05</v>
      </c>
      <c r="G519" s="29">
        <v>215000</v>
      </c>
      <c r="H519" s="45">
        <v>0.8</v>
      </c>
      <c r="I519" s="31">
        <v>1.1479999999999999</v>
      </c>
      <c r="J519" s="223">
        <f t="shared" si="64"/>
        <v>12450000</v>
      </c>
      <c r="K519" s="32">
        <f t="shared" si="65"/>
        <v>12450000</v>
      </c>
      <c r="L519" s="261">
        <f t="shared" si="57"/>
        <v>0</v>
      </c>
      <c r="M519" s="14"/>
    </row>
    <row r="520" spans="1:13" ht="36.75" customHeight="1" x14ac:dyDescent="0.3">
      <c r="A520" s="69"/>
      <c r="B520" s="8"/>
      <c r="C520" s="82" t="s">
        <v>479</v>
      </c>
      <c r="D520" s="270" t="s">
        <v>66</v>
      </c>
      <c r="E520" s="27" t="s">
        <v>23</v>
      </c>
      <c r="F520" s="75">
        <f>9.7*8.8</f>
        <v>85.36</v>
      </c>
      <c r="G520" s="29">
        <v>339000</v>
      </c>
      <c r="H520" s="45">
        <v>0.8</v>
      </c>
      <c r="I520" s="31">
        <v>1.1479999999999999</v>
      </c>
      <c r="J520" s="223">
        <f t="shared" si="64"/>
        <v>26576000</v>
      </c>
      <c r="K520" s="32">
        <f t="shared" si="65"/>
        <v>26576000</v>
      </c>
      <c r="L520" s="261">
        <f t="shared" si="57"/>
        <v>0</v>
      </c>
      <c r="M520" s="14"/>
    </row>
    <row r="521" spans="1:13" ht="36.75" customHeight="1" x14ac:dyDescent="0.3">
      <c r="A521" s="69"/>
      <c r="B521" s="8"/>
      <c r="C521" s="82" t="s">
        <v>480</v>
      </c>
      <c r="D521" s="270" t="s">
        <v>52</v>
      </c>
      <c r="E521" s="27" t="s">
        <v>23</v>
      </c>
      <c r="F521" s="72">
        <f>9*1.2+2.5*1.4</f>
        <v>14.299999999999999</v>
      </c>
      <c r="G521" s="11" t="s">
        <v>53</v>
      </c>
      <c r="H521" s="45">
        <v>0.8</v>
      </c>
      <c r="I521" s="79">
        <v>1.1479999999999999</v>
      </c>
      <c r="J521" s="223">
        <f t="shared" si="64"/>
        <v>3099000</v>
      </c>
      <c r="K521" s="32">
        <f t="shared" si="65"/>
        <v>3099000</v>
      </c>
      <c r="L521" s="261">
        <f t="shared" si="57"/>
        <v>0</v>
      </c>
      <c r="M521" s="14"/>
    </row>
    <row r="522" spans="1:13" ht="37.5" x14ac:dyDescent="0.3">
      <c r="A522" s="69"/>
      <c r="B522" s="8"/>
      <c r="C522" s="82" t="s">
        <v>481</v>
      </c>
      <c r="D522" s="271" t="s">
        <v>54</v>
      </c>
      <c r="E522" s="27" t="s">
        <v>23</v>
      </c>
      <c r="F522" s="72">
        <f>9.7*1.8+(1.5*2.4)*2</f>
        <v>24.66</v>
      </c>
      <c r="G522" s="46">
        <v>213000</v>
      </c>
      <c r="H522" s="45">
        <v>0.8</v>
      </c>
      <c r="I522" s="31">
        <v>1.1479999999999999</v>
      </c>
      <c r="J522" s="223">
        <f t="shared" si="64"/>
        <v>4824000</v>
      </c>
      <c r="K522" s="32">
        <f t="shared" si="65"/>
        <v>4824000</v>
      </c>
      <c r="L522" s="261">
        <f t="shared" si="57"/>
        <v>0</v>
      </c>
      <c r="M522" s="14"/>
    </row>
    <row r="523" spans="1:13" ht="38.25" x14ac:dyDescent="0.3">
      <c r="A523" s="69"/>
      <c r="B523" s="8"/>
      <c r="C523" s="82" t="s">
        <v>142</v>
      </c>
      <c r="D523" s="273" t="s">
        <v>44</v>
      </c>
      <c r="E523" s="63" t="s">
        <v>45</v>
      </c>
      <c r="F523" s="77">
        <v>10</v>
      </c>
      <c r="G523" s="46">
        <v>28000</v>
      </c>
      <c r="H523" s="45">
        <v>0.8</v>
      </c>
      <c r="I523" s="31">
        <v>1.1479999999999999</v>
      </c>
      <c r="J523" s="223">
        <f t="shared" si="64"/>
        <v>257000</v>
      </c>
      <c r="K523" s="32">
        <f t="shared" si="65"/>
        <v>257000</v>
      </c>
      <c r="L523" s="261">
        <f t="shared" si="57"/>
        <v>0</v>
      </c>
      <c r="M523" s="14"/>
    </row>
    <row r="524" spans="1:13" ht="48" customHeight="1" x14ac:dyDescent="0.3">
      <c r="A524" s="149">
        <v>22</v>
      </c>
      <c r="B524" s="150" t="s">
        <v>482</v>
      </c>
      <c r="C524" s="455" t="s">
        <v>1104</v>
      </c>
      <c r="D524" s="456"/>
      <c r="E524" s="456"/>
      <c r="F524" s="468"/>
      <c r="G524" s="456"/>
      <c r="H524" s="456"/>
      <c r="I524" s="469"/>
      <c r="J524" s="221">
        <f>SUM(J525:J535)</f>
        <v>295433000</v>
      </c>
      <c r="K524" s="32">
        <f t="shared" si="65"/>
        <v>0</v>
      </c>
      <c r="L524" s="261">
        <f t="shared" si="57"/>
        <v>295433000</v>
      </c>
      <c r="M524" s="24"/>
    </row>
    <row r="525" spans="1:13" s="289" customFormat="1" ht="90" customHeight="1" x14ac:dyDescent="0.25">
      <c r="A525" s="67"/>
      <c r="B525" s="68"/>
      <c r="C525" s="25" t="s">
        <v>1062</v>
      </c>
      <c r="D525" s="267" t="s">
        <v>112</v>
      </c>
      <c r="E525" s="27" t="s">
        <v>23</v>
      </c>
      <c r="F525" s="287">
        <v>47.4</v>
      </c>
      <c r="G525" s="458" t="s">
        <v>1064</v>
      </c>
      <c r="H525" s="459"/>
      <c r="I525" s="460"/>
      <c r="J525" s="227"/>
      <c r="K525" s="32"/>
      <c r="L525" s="261">
        <f t="shared" si="57"/>
        <v>0</v>
      </c>
      <c r="M525" s="217">
        <v>46.8</v>
      </c>
    </row>
    <row r="526" spans="1:13" ht="72" customHeight="1" x14ac:dyDescent="0.3">
      <c r="A526" s="69"/>
      <c r="B526" s="8"/>
      <c r="C526" s="82" t="s">
        <v>483</v>
      </c>
      <c r="D526" s="274" t="s">
        <v>113</v>
      </c>
      <c r="E526" s="27" t="s">
        <v>23</v>
      </c>
      <c r="F526" s="89">
        <f>13*6.1</f>
        <v>79.3</v>
      </c>
      <c r="G526" s="29">
        <v>3224000</v>
      </c>
      <c r="H526" s="45">
        <v>0.8</v>
      </c>
      <c r="I526" s="102">
        <v>1.1479999999999999</v>
      </c>
      <c r="J526" s="223">
        <f t="shared" ref="J526:J535" si="66">ROUND(F526*G526*H526*I526,-3)</f>
        <v>234801000</v>
      </c>
      <c r="K526" s="32">
        <f t="shared" ref="K526:K536" si="67">ROUND(G526*H526*I526*F526,-3)</f>
        <v>234801000</v>
      </c>
      <c r="L526" s="261">
        <f t="shared" si="57"/>
        <v>0</v>
      </c>
      <c r="M526" s="14"/>
    </row>
    <row r="527" spans="1:13" ht="38.25" x14ac:dyDescent="0.3">
      <c r="A527" s="69"/>
      <c r="B527" s="8"/>
      <c r="C527" s="82" t="s">
        <v>484</v>
      </c>
      <c r="D527" s="270" t="s">
        <v>80</v>
      </c>
      <c r="E527" s="71" t="s">
        <v>23</v>
      </c>
      <c r="F527" s="72">
        <f>13*5.7</f>
        <v>74.100000000000009</v>
      </c>
      <c r="G527" s="29">
        <v>385000</v>
      </c>
      <c r="H527" s="45">
        <v>0.8</v>
      </c>
      <c r="I527" s="31">
        <v>1.1479999999999999</v>
      </c>
      <c r="J527" s="223">
        <f t="shared" si="66"/>
        <v>26201000</v>
      </c>
      <c r="K527" s="32">
        <f t="shared" si="67"/>
        <v>26201000</v>
      </c>
      <c r="L527" s="261">
        <f t="shared" si="57"/>
        <v>0</v>
      </c>
      <c r="M527" s="14"/>
    </row>
    <row r="528" spans="1:13" ht="38.25" x14ac:dyDescent="0.3">
      <c r="A528" s="69"/>
      <c r="B528" s="8"/>
      <c r="C528" s="82" t="s">
        <v>485</v>
      </c>
      <c r="D528" s="271" t="s">
        <v>32</v>
      </c>
      <c r="E528" s="27" t="s">
        <v>23</v>
      </c>
      <c r="F528" s="72">
        <f>5*6.1</f>
        <v>30.5</v>
      </c>
      <c r="G528" s="29">
        <v>215000</v>
      </c>
      <c r="H528" s="45">
        <v>0.8</v>
      </c>
      <c r="I528" s="31">
        <v>1.1479999999999999</v>
      </c>
      <c r="J528" s="223">
        <f t="shared" si="66"/>
        <v>6022000</v>
      </c>
      <c r="K528" s="32">
        <f t="shared" si="67"/>
        <v>6022000</v>
      </c>
      <c r="L528" s="261">
        <f t="shared" si="57"/>
        <v>0</v>
      </c>
      <c r="M528" s="158"/>
    </row>
    <row r="529" spans="1:13" ht="37.5" x14ac:dyDescent="0.3">
      <c r="A529" s="69"/>
      <c r="B529" s="8"/>
      <c r="C529" s="82" t="s">
        <v>486</v>
      </c>
      <c r="D529" s="270" t="s">
        <v>55</v>
      </c>
      <c r="E529" s="27" t="s">
        <v>23</v>
      </c>
      <c r="F529" s="72">
        <f>3.4*6.1+0.6*0.5</f>
        <v>21.04</v>
      </c>
      <c r="G529" s="29">
        <v>905000</v>
      </c>
      <c r="H529" s="45">
        <v>0.8</v>
      </c>
      <c r="I529" s="79">
        <v>1.1479999999999999</v>
      </c>
      <c r="J529" s="223">
        <f t="shared" si="66"/>
        <v>17487000</v>
      </c>
      <c r="K529" s="32">
        <f t="shared" si="67"/>
        <v>17487000</v>
      </c>
      <c r="L529" s="261">
        <f t="shared" si="57"/>
        <v>0</v>
      </c>
      <c r="M529" s="14"/>
    </row>
    <row r="530" spans="1:13" ht="41.25" customHeight="1" x14ac:dyDescent="0.3">
      <c r="A530" s="69"/>
      <c r="B530" s="8"/>
      <c r="C530" s="82" t="s">
        <v>487</v>
      </c>
      <c r="D530" s="267" t="s">
        <v>95</v>
      </c>
      <c r="E530" s="71" t="s">
        <v>25</v>
      </c>
      <c r="F530" s="72">
        <f>6.1*0.45*0.15</f>
        <v>0.41175</v>
      </c>
      <c r="G530" s="11">
        <v>1000000</v>
      </c>
      <c r="H530" s="45">
        <v>0.8</v>
      </c>
      <c r="I530" s="31">
        <v>1.1479999999999999</v>
      </c>
      <c r="J530" s="223">
        <f t="shared" si="66"/>
        <v>378000</v>
      </c>
      <c r="K530" s="32">
        <f t="shared" si="67"/>
        <v>378000</v>
      </c>
      <c r="L530" s="261">
        <f t="shared" si="57"/>
        <v>0</v>
      </c>
      <c r="M530" s="14"/>
    </row>
    <row r="531" spans="1:13" ht="41.25" customHeight="1" x14ac:dyDescent="0.3">
      <c r="A531" s="69"/>
      <c r="B531" s="8"/>
      <c r="C531" s="82" t="s">
        <v>488</v>
      </c>
      <c r="D531" s="270" t="s">
        <v>66</v>
      </c>
      <c r="E531" s="27" t="s">
        <v>23</v>
      </c>
      <c r="F531" s="72">
        <f>6.1*0.45</f>
        <v>2.7450000000000001</v>
      </c>
      <c r="G531" s="29">
        <v>339000</v>
      </c>
      <c r="H531" s="45">
        <v>0.8</v>
      </c>
      <c r="I531" s="31">
        <v>1.1479999999999999</v>
      </c>
      <c r="J531" s="223">
        <f t="shared" si="66"/>
        <v>855000</v>
      </c>
      <c r="K531" s="32">
        <f t="shared" si="67"/>
        <v>855000</v>
      </c>
      <c r="L531" s="261">
        <f t="shared" si="57"/>
        <v>0</v>
      </c>
      <c r="M531" s="14"/>
    </row>
    <row r="532" spans="1:13" ht="38.25" x14ac:dyDescent="0.3">
      <c r="A532" s="69"/>
      <c r="B532" s="8"/>
      <c r="C532" s="82" t="s">
        <v>489</v>
      </c>
      <c r="D532" s="267" t="s">
        <v>24</v>
      </c>
      <c r="E532" s="8" t="s">
        <v>25</v>
      </c>
      <c r="F532" s="72">
        <f>6.1*1.3*0.3</f>
        <v>2.379</v>
      </c>
      <c r="G532" s="29">
        <v>2828000</v>
      </c>
      <c r="H532" s="45">
        <v>0.8</v>
      </c>
      <c r="I532" s="102">
        <v>1.1479999999999999</v>
      </c>
      <c r="J532" s="223">
        <f t="shared" si="66"/>
        <v>6179000</v>
      </c>
      <c r="K532" s="32">
        <f t="shared" si="67"/>
        <v>6179000</v>
      </c>
      <c r="L532" s="261">
        <f t="shared" si="57"/>
        <v>0</v>
      </c>
      <c r="M532" s="14"/>
    </row>
    <row r="533" spans="1:13" ht="25.5" x14ac:dyDescent="0.3">
      <c r="A533" s="69"/>
      <c r="B533" s="8"/>
      <c r="C533" s="82" t="s">
        <v>490</v>
      </c>
      <c r="D533" s="280" t="s">
        <v>92</v>
      </c>
      <c r="E533" s="27" t="s">
        <v>35</v>
      </c>
      <c r="F533" s="98">
        <v>1</v>
      </c>
      <c r="G533" s="29">
        <v>44850</v>
      </c>
      <c r="H533" s="50">
        <v>1</v>
      </c>
      <c r="I533" s="51">
        <v>1</v>
      </c>
      <c r="J533" s="223">
        <f t="shared" si="66"/>
        <v>45000</v>
      </c>
      <c r="K533" s="32">
        <f t="shared" si="67"/>
        <v>45000</v>
      </c>
      <c r="L533" s="261">
        <f t="shared" si="57"/>
        <v>0</v>
      </c>
      <c r="M533" s="14"/>
    </row>
    <row r="534" spans="1:13" ht="37.5" customHeight="1" x14ac:dyDescent="0.3">
      <c r="A534" s="69"/>
      <c r="B534" s="8"/>
      <c r="C534" s="82" t="s">
        <v>491</v>
      </c>
      <c r="D534" s="270" t="s">
        <v>52</v>
      </c>
      <c r="E534" s="27" t="s">
        <v>23</v>
      </c>
      <c r="F534" s="72">
        <f>5.7*1+6.5*1.4</f>
        <v>14.8</v>
      </c>
      <c r="G534" s="11" t="s">
        <v>53</v>
      </c>
      <c r="H534" s="45">
        <v>0.8</v>
      </c>
      <c r="I534" s="79">
        <v>1.1479999999999999</v>
      </c>
      <c r="J534" s="223">
        <f t="shared" si="66"/>
        <v>3208000</v>
      </c>
      <c r="K534" s="32">
        <f t="shared" si="67"/>
        <v>3208000</v>
      </c>
      <c r="L534" s="261">
        <f t="shared" si="57"/>
        <v>0</v>
      </c>
      <c r="M534" s="14"/>
    </row>
    <row r="535" spans="1:13" ht="38.25" x14ac:dyDescent="0.3">
      <c r="A535" s="69"/>
      <c r="B535" s="8"/>
      <c r="C535" s="82" t="s">
        <v>110</v>
      </c>
      <c r="D535" s="271" t="s">
        <v>47</v>
      </c>
      <c r="E535" s="63" t="s">
        <v>45</v>
      </c>
      <c r="F535" s="77">
        <v>10</v>
      </c>
      <c r="G535" s="46">
        <v>28000</v>
      </c>
      <c r="H535" s="45">
        <v>0.8</v>
      </c>
      <c r="I535" s="31">
        <v>1.1479999999999999</v>
      </c>
      <c r="J535" s="223">
        <f t="shared" si="66"/>
        <v>257000</v>
      </c>
      <c r="K535" s="32">
        <f t="shared" si="67"/>
        <v>257000</v>
      </c>
      <c r="L535" s="261">
        <f t="shared" si="57"/>
        <v>0</v>
      </c>
      <c r="M535" s="14"/>
    </row>
    <row r="536" spans="1:13" ht="50.25" customHeight="1" x14ac:dyDescent="0.3">
      <c r="A536" s="149">
        <v>23</v>
      </c>
      <c r="B536" s="150" t="s">
        <v>492</v>
      </c>
      <c r="C536" s="455" t="s">
        <v>1105</v>
      </c>
      <c r="D536" s="456"/>
      <c r="E536" s="456"/>
      <c r="F536" s="456"/>
      <c r="G536" s="456"/>
      <c r="H536" s="456"/>
      <c r="I536" s="457"/>
      <c r="J536" s="221">
        <f>SUM(J537:J554)</f>
        <v>77026000</v>
      </c>
      <c r="K536" s="32">
        <f t="shared" si="67"/>
        <v>0</v>
      </c>
      <c r="L536" s="261">
        <f t="shared" si="57"/>
        <v>77026000</v>
      </c>
      <c r="M536" s="24"/>
    </row>
    <row r="537" spans="1:13" s="289" customFormat="1" ht="90" customHeight="1" x14ac:dyDescent="0.25">
      <c r="A537" s="67"/>
      <c r="B537" s="68"/>
      <c r="C537" s="25" t="s">
        <v>1062</v>
      </c>
      <c r="D537" s="267" t="s">
        <v>112</v>
      </c>
      <c r="E537" s="27" t="s">
        <v>23</v>
      </c>
      <c r="F537" s="23">
        <v>43</v>
      </c>
      <c r="G537" s="458" t="s">
        <v>1064</v>
      </c>
      <c r="H537" s="459"/>
      <c r="I537" s="460"/>
      <c r="J537" s="227"/>
      <c r="K537" s="32"/>
      <c r="L537" s="261">
        <f t="shared" si="57"/>
        <v>0</v>
      </c>
      <c r="M537" s="218"/>
    </row>
    <row r="538" spans="1:13" ht="38.25" x14ac:dyDescent="0.3">
      <c r="A538" s="69"/>
      <c r="B538" s="8"/>
      <c r="C538" s="82" t="s">
        <v>493</v>
      </c>
      <c r="D538" s="269" t="s">
        <v>88</v>
      </c>
      <c r="E538" s="8" t="s">
        <v>25</v>
      </c>
      <c r="F538" s="72">
        <f>(0.6*0.6*2.8)*2</f>
        <v>2.016</v>
      </c>
      <c r="G538" s="11">
        <v>2828000</v>
      </c>
      <c r="H538" s="45">
        <v>0.8</v>
      </c>
      <c r="I538" s="31">
        <v>1.1479999999999999</v>
      </c>
      <c r="J538" s="223">
        <f t="shared" ref="J538:J554" si="68">ROUND(F538*G538*H538*I538,-3)</f>
        <v>5236000</v>
      </c>
      <c r="K538" s="32">
        <f t="shared" ref="K538:K555" si="69">ROUND(G538*H538*I538*F538,-3)</f>
        <v>5236000</v>
      </c>
      <c r="L538" s="261">
        <f t="shared" si="57"/>
        <v>0</v>
      </c>
      <c r="M538" s="14"/>
    </row>
    <row r="539" spans="1:13" ht="38.25" x14ac:dyDescent="0.3">
      <c r="A539" s="69"/>
      <c r="B539" s="8"/>
      <c r="C539" s="82" t="s">
        <v>494</v>
      </c>
      <c r="D539" s="267" t="s">
        <v>26</v>
      </c>
      <c r="E539" s="71" t="s">
        <v>23</v>
      </c>
      <c r="F539" s="72">
        <f>2.4*2.5</f>
        <v>6</v>
      </c>
      <c r="G539" s="29">
        <v>679000</v>
      </c>
      <c r="H539" s="45">
        <v>0.8</v>
      </c>
      <c r="I539" s="31">
        <v>1.1479999999999999</v>
      </c>
      <c r="J539" s="223">
        <f t="shared" si="68"/>
        <v>3742000</v>
      </c>
      <c r="K539" s="32">
        <f t="shared" si="69"/>
        <v>3742000</v>
      </c>
      <c r="L539" s="261">
        <f t="shared" si="57"/>
        <v>0</v>
      </c>
      <c r="M539" s="14"/>
    </row>
    <row r="540" spans="1:13" ht="37.5" x14ac:dyDescent="0.3">
      <c r="A540" s="69"/>
      <c r="B540" s="8"/>
      <c r="C540" s="82" t="s">
        <v>495</v>
      </c>
      <c r="D540" s="270" t="s">
        <v>29</v>
      </c>
      <c r="E540" s="27" t="s">
        <v>23</v>
      </c>
      <c r="F540" s="72">
        <f>16.8*1.2+(4.8*0.3)*2+(2.8*0.3)*2</f>
        <v>24.72</v>
      </c>
      <c r="G540" s="29">
        <v>792000</v>
      </c>
      <c r="H540" s="45">
        <v>0.8</v>
      </c>
      <c r="I540" s="31">
        <v>1.1479999999999999</v>
      </c>
      <c r="J540" s="223">
        <f t="shared" si="68"/>
        <v>17981000</v>
      </c>
      <c r="K540" s="32">
        <f t="shared" si="69"/>
        <v>17981000</v>
      </c>
      <c r="L540" s="261">
        <f t="shared" si="57"/>
        <v>0</v>
      </c>
      <c r="M540" s="14"/>
    </row>
    <row r="541" spans="1:13" ht="38.25" x14ac:dyDescent="0.3">
      <c r="A541" s="69"/>
      <c r="B541" s="8"/>
      <c r="C541" s="82" t="s">
        <v>496</v>
      </c>
      <c r="D541" s="271" t="s">
        <v>34</v>
      </c>
      <c r="E541" s="27" t="s">
        <v>23</v>
      </c>
      <c r="F541" s="72">
        <f>16.8*1.1</f>
        <v>18.480000000000004</v>
      </c>
      <c r="G541" s="46">
        <v>566000</v>
      </c>
      <c r="H541" s="45">
        <v>0.8</v>
      </c>
      <c r="I541" s="31">
        <v>1.1479999999999999</v>
      </c>
      <c r="J541" s="223">
        <f t="shared" si="68"/>
        <v>9606000</v>
      </c>
      <c r="K541" s="32">
        <f t="shared" si="69"/>
        <v>9606000</v>
      </c>
      <c r="L541" s="261">
        <f t="shared" si="57"/>
        <v>0</v>
      </c>
      <c r="M541" s="14"/>
    </row>
    <row r="542" spans="1:13" ht="38.25" x14ac:dyDescent="0.3">
      <c r="A542" s="69"/>
      <c r="B542" s="8"/>
      <c r="C542" s="82" t="s">
        <v>497</v>
      </c>
      <c r="D542" s="271" t="s">
        <v>34</v>
      </c>
      <c r="E542" s="27" t="s">
        <v>23</v>
      </c>
      <c r="F542" s="72">
        <f>4.8*7.8</f>
        <v>37.44</v>
      </c>
      <c r="G542" s="46">
        <v>566000</v>
      </c>
      <c r="H542" s="45">
        <v>0.8</v>
      </c>
      <c r="I542" s="31">
        <v>1.1479999999999999</v>
      </c>
      <c r="J542" s="223">
        <f t="shared" si="68"/>
        <v>19462000</v>
      </c>
      <c r="K542" s="32">
        <f t="shared" si="69"/>
        <v>19462000</v>
      </c>
      <c r="L542" s="261">
        <f t="shared" si="57"/>
        <v>0</v>
      </c>
      <c r="M542" s="14"/>
    </row>
    <row r="543" spans="1:13" ht="38.25" x14ac:dyDescent="0.3">
      <c r="A543" s="69"/>
      <c r="B543" s="8"/>
      <c r="C543" s="82" t="s">
        <v>498</v>
      </c>
      <c r="D543" s="271" t="s">
        <v>32</v>
      </c>
      <c r="E543" s="27" t="s">
        <v>23</v>
      </c>
      <c r="F543" s="72">
        <f>5.3*7.4</f>
        <v>39.22</v>
      </c>
      <c r="G543" s="29">
        <v>215000</v>
      </c>
      <c r="H543" s="45">
        <v>0.8</v>
      </c>
      <c r="I543" s="31">
        <v>1.1479999999999999</v>
      </c>
      <c r="J543" s="223">
        <f t="shared" si="68"/>
        <v>7744000</v>
      </c>
      <c r="K543" s="32">
        <f t="shared" si="69"/>
        <v>7744000</v>
      </c>
      <c r="L543" s="261">
        <f t="shared" si="57"/>
        <v>0</v>
      </c>
      <c r="M543" s="14"/>
    </row>
    <row r="544" spans="1:13" ht="42" customHeight="1" x14ac:dyDescent="0.3">
      <c r="A544" s="69"/>
      <c r="B544" s="8"/>
      <c r="C544" s="82" t="s">
        <v>499</v>
      </c>
      <c r="D544" s="270" t="s">
        <v>31</v>
      </c>
      <c r="E544" s="27" t="s">
        <v>23</v>
      </c>
      <c r="F544" s="72">
        <f>2.4*1</f>
        <v>2.4</v>
      </c>
      <c r="G544" s="29">
        <v>339000</v>
      </c>
      <c r="H544" s="45">
        <v>0.8</v>
      </c>
      <c r="I544" s="31">
        <v>1.1479999999999999</v>
      </c>
      <c r="J544" s="223">
        <f t="shared" si="68"/>
        <v>747000</v>
      </c>
      <c r="K544" s="32">
        <f t="shared" si="69"/>
        <v>747000</v>
      </c>
      <c r="L544" s="261">
        <f t="shared" si="57"/>
        <v>0</v>
      </c>
      <c r="M544" s="14"/>
    </row>
    <row r="545" spans="1:13" ht="38.25" x14ac:dyDescent="0.3">
      <c r="A545" s="69"/>
      <c r="B545" s="8"/>
      <c r="C545" s="82" t="s">
        <v>500</v>
      </c>
      <c r="D545" s="271" t="s">
        <v>32</v>
      </c>
      <c r="E545" s="27" t="s">
        <v>23</v>
      </c>
      <c r="F545" s="72">
        <f>6.4*7.8</f>
        <v>49.92</v>
      </c>
      <c r="G545" s="29">
        <v>215000</v>
      </c>
      <c r="H545" s="45">
        <v>0.8</v>
      </c>
      <c r="I545" s="31">
        <v>1.1479999999999999</v>
      </c>
      <c r="J545" s="223">
        <f t="shared" si="68"/>
        <v>9857000</v>
      </c>
      <c r="K545" s="32">
        <f t="shared" si="69"/>
        <v>9857000</v>
      </c>
      <c r="L545" s="261">
        <f t="shared" si="57"/>
        <v>0</v>
      </c>
      <c r="M545" s="14"/>
    </row>
    <row r="546" spans="1:13" ht="25.5" x14ac:dyDescent="0.3">
      <c r="A546" s="69"/>
      <c r="B546" s="8"/>
      <c r="C546" s="82" t="s">
        <v>501</v>
      </c>
      <c r="D546" s="277" t="s">
        <v>878</v>
      </c>
      <c r="E546" s="27" t="s">
        <v>35</v>
      </c>
      <c r="F546" s="76">
        <v>2</v>
      </c>
      <c r="G546" s="29">
        <v>40910</v>
      </c>
      <c r="H546" s="50">
        <v>1</v>
      </c>
      <c r="I546" s="51">
        <v>1</v>
      </c>
      <c r="J546" s="224">
        <f t="shared" si="68"/>
        <v>82000</v>
      </c>
      <c r="K546" s="32">
        <f t="shared" si="69"/>
        <v>82000</v>
      </c>
      <c r="L546" s="261">
        <f t="shared" si="57"/>
        <v>0</v>
      </c>
      <c r="M546" s="14"/>
    </row>
    <row r="547" spans="1:13" ht="37.5" customHeight="1" x14ac:dyDescent="0.3">
      <c r="A547" s="69"/>
      <c r="B547" s="8"/>
      <c r="C547" s="82" t="s">
        <v>502</v>
      </c>
      <c r="D547" s="276" t="s">
        <v>41</v>
      </c>
      <c r="E547" s="59" t="s">
        <v>42</v>
      </c>
      <c r="F547" s="98">
        <v>5</v>
      </c>
      <c r="G547" s="11">
        <v>31950</v>
      </c>
      <c r="H547" s="60">
        <v>1</v>
      </c>
      <c r="I547" s="61">
        <v>1</v>
      </c>
      <c r="J547" s="223">
        <f t="shared" si="68"/>
        <v>160000</v>
      </c>
      <c r="K547" s="32">
        <f t="shared" si="69"/>
        <v>160000</v>
      </c>
      <c r="L547" s="261">
        <f t="shared" si="57"/>
        <v>0</v>
      </c>
      <c r="M547" s="14"/>
    </row>
    <row r="548" spans="1:13" ht="37.5" customHeight="1" x14ac:dyDescent="0.3">
      <c r="A548" s="69"/>
      <c r="B548" s="8"/>
      <c r="C548" s="82" t="s">
        <v>503</v>
      </c>
      <c r="D548" s="276" t="s">
        <v>41</v>
      </c>
      <c r="E548" s="59" t="s">
        <v>42</v>
      </c>
      <c r="F548" s="98">
        <v>10</v>
      </c>
      <c r="G548" s="11">
        <v>10650</v>
      </c>
      <c r="H548" s="60">
        <v>1</v>
      </c>
      <c r="I548" s="61">
        <v>1</v>
      </c>
      <c r="J548" s="223">
        <f t="shared" si="68"/>
        <v>107000</v>
      </c>
      <c r="K548" s="32">
        <f t="shared" si="69"/>
        <v>107000</v>
      </c>
      <c r="L548" s="261">
        <f t="shared" si="57"/>
        <v>0</v>
      </c>
      <c r="M548" s="14"/>
    </row>
    <row r="549" spans="1:13" ht="38.25" x14ac:dyDescent="0.3">
      <c r="A549" s="69"/>
      <c r="B549" s="8"/>
      <c r="C549" s="82" t="s">
        <v>43</v>
      </c>
      <c r="D549" s="273" t="s">
        <v>44</v>
      </c>
      <c r="E549" s="63" t="s">
        <v>45</v>
      </c>
      <c r="F549" s="77">
        <v>6</v>
      </c>
      <c r="G549" s="46">
        <v>28000</v>
      </c>
      <c r="H549" s="45">
        <v>0.8</v>
      </c>
      <c r="I549" s="31">
        <v>1.1479999999999999</v>
      </c>
      <c r="J549" s="223">
        <f t="shared" si="68"/>
        <v>154000</v>
      </c>
      <c r="K549" s="32">
        <f t="shared" si="69"/>
        <v>154000</v>
      </c>
      <c r="L549" s="261">
        <f t="shared" si="57"/>
        <v>0</v>
      </c>
      <c r="M549" s="14"/>
    </row>
    <row r="550" spans="1:13" ht="38.25" x14ac:dyDescent="0.3">
      <c r="A550" s="69"/>
      <c r="B550" s="8"/>
      <c r="C550" s="82" t="s">
        <v>46</v>
      </c>
      <c r="D550" s="271" t="s">
        <v>47</v>
      </c>
      <c r="E550" s="63" t="s">
        <v>45</v>
      </c>
      <c r="F550" s="77">
        <v>6</v>
      </c>
      <c r="G550" s="46">
        <v>28000</v>
      </c>
      <c r="H550" s="45">
        <v>0.8</v>
      </c>
      <c r="I550" s="31">
        <v>1.1479999999999999</v>
      </c>
      <c r="J550" s="223">
        <f t="shared" si="68"/>
        <v>154000</v>
      </c>
      <c r="K550" s="32">
        <f t="shared" si="69"/>
        <v>154000</v>
      </c>
      <c r="L550" s="261">
        <f t="shared" si="57"/>
        <v>0</v>
      </c>
      <c r="M550" s="14"/>
    </row>
    <row r="551" spans="1:13" ht="38.25" x14ac:dyDescent="0.3">
      <c r="A551" s="69"/>
      <c r="B551" s="8"/>
      <c r="C551" s="82" t="s">
        <v>504</v>
      </c>
      <c r="D551" s="267" t="s">
        <v>24</v>
      </c>
      <c r="E551" s="27" t="s">
        <v>25</v>
      </c>
      <c r="F551" s="72">
        <f>(0.22*0.22*2.5)*6</f>
        <v>0.72599999999999998</v>
      </c>
      <c r="G551" s="29">
        <v>2828000</v>
      </c>
      <c r="H551" s="45">
        <v>0.8</v>
      </c>
      <c r="I551" s="31">
        <v>1.1479999999999999</v>
      </c>
      <c r="J551" s="223">
        <f t="shared" si="68"/>
        <v>1886000</v>
      </c>
      <c r="K551" s="32">
        <f t="shared" si="69"/>
        <v>1886000</v>
      </c>
      <c r="L551" s="261">
        <f t="shared" si="57"/>
        <v>0</v>
      </c>
      <c r="M551" s="158"/>
    </row>
    <row r="552" spans="1:13" ht="25.5" x14ac:dyDescent="0.3">
      <c r="A552" s="69"/>
      <c r="B552" s="8"/>
      <c r="C552" s="82" t="s">
        <v>505</v>
      </c>
      <c r="D552" s="192" t="s">
        <v>58</v>
      </c>
      <c r="E552" s="27" t="s">
        <v>35</v>
      </c>
      <c r="F552" s="196">
        <v>1</v>
      </c>
      <c r="G552" s="29">
        <v>21300</v>
      </c>
      <c r="H552" s="50">
        <v>1</v>
      </c>
      <c r="I552" s="51">
        <v>1</v>
      </c>
      <c r="J552" s="223">
        <f t="shared" si="68"/>
        <v>21000</v>
      </c>
      <c r="K552" s="32">
        <f t="shared" si="69"/>
        <v>21000</v>
      </c>
      <c r="L552" s="261">
        <f t="shared" si="57"/>
        <v>0</v>
      </c>
      <c r="M552" s="14"/>
    </row>
    <row r="553" spans="1:13" ht="25.5" x14ac:dyDescent="0.3">
      <c r="A553" s="69"/>
      <c r="B553" s="8"/>
      <c r="C553" s="82" t="s">
        <v>506</v>
      </c>
      <c r="D553" s="192" t="s">
        <v>879</v>
      </c>
      <c r="E553" s="27" t="s">
        <v>35</v>
      </c>
      <c r="F553" s="196">
        <v>1</v>
      </c>
      <c r="G553" s="29">
        <v>10650</v>
      </c>
      <c r="H553" s="50">
        <v>1</v>
      </c>
      <c r="I553" s="51">
        <v>1</v>
      </c>
      <c r="J553" s="223">
        <f t="shared" si="68"/>
        <v>11000</v>
      </c>
      <c r="K553" s="32">
        <f t="shared" si="69"/>
        <v>11000</v>
      </c>
      <c r="L553" s="261">
        <f t="shared" si="57"/>
        <v>0</v>
      </c>
      <c r="M553" s="14"/>
    </row>
    <row r="554" spans="1:13" ht="38.25" x14ac:dyDescent="0.3">
      <c r="A554" s="69"/>
      <c r="B554" s="8"/>
      <c r="C554" s="82" t="s">
        <v>507</v>
      </c>
      <c r="D554" s="267" t="s">
        <v>89</v>
      </c>
      <c r="E554" s="71" t="s">
        <v>23</v>
      </c>
      <c r="F554" s="72">
        <f>5*1.5</f>
        <v>7.5</v>
      </c>
      <c r="G554" s="29">
        <v>11000</v>
      </c>
      <c r="H554" s="45">
        <v>0.8</v>
      </c>
      <c r="I554" s="31">
        <v>1.1479999999999999</v>
      </c>
      <c r="J554" s="223">
        <f t="shared" si="68"/>
        <v>76000</v>
      </c>
      <c r="K554" s="32">
        <f t="shared" si="69"/>
        <v>76000</v>
      </c>
      <c r="L554" s="261">
        <f t="shared" si="57"/>
        <v>0</v>
      </c>
      <c r="M554" s="14"/>
    </row>
    <row r="555" spans="1:13" ht="50.25" customHeight="1" x14ac:dyDescent="0.3">
      <c r="A555" s="149">
        <v>24</v>
      </c>
      <c r="B555" s="150" t="s">
        <v>508</v>
      </c>
      <c r="C555" s="455" t="s">
        <v>1106</v>
      </c>
      <c r="D555" s="456"/>
      <c r="E555" s="456"/>
      <c r="F555" s="456"/>
      <c r="G555" s="456"/>
      <c r="H555" s="456"/>
      <c r="I555" s="457"/>
      <c r="J555" s="221">
        <f>SUM(J556:J578)</f>
        <v>384009000</v>
      </c>
      <c r="K555" s="32">
        <f t="shared" si="69"/>
        <v>0</v>
      </c>
      <c r="L555" s="261">
        <f t="shared" si="57"/>
        <v>384009000</v>
      </c>
      <c r="M555" s="24"/>
    </row>
    <row r="556" spans="1:13" s="289" customFormat="1" ht="90" customHeight="1" x14ac:dyDescent="0.25">
      <c r="A556" s="67"/>
      <c r="B556" s="68"/>
      <c r="C556" s="25" t="s">
        <v>1062</v>
      </c>
      <c r="D556" s="267" t="s">
        <v>112</v>
      </c>
      <c r="E556" s="27" t="s">
        <v>23</v>
      </c>
      <c r="F556" s="23">
        <v>128.6</v>
      </c>
      <c r="G556" s="458" t="s">
        <v>1064</v>
      </c>
      <c r="H556" s="459"/>
      <c r="I556" s="460"/>
      <c r="J556" s="227"/>
      <c r="K556" s="32"/>
      <c r="L556" s="261">
        <f t="shared" si="57"/>
        <v>0</v>
      </c>
      <c r="M556" s="218"/>
    </row>
    <row r="557" spans="1:13" ht="38.25" x14ac:dyDescent="0.3">
      <c r="A557" s="69"/>
      <c r="B557" s="8"/>
      <c r="C557" s="82" t="s">
        <v>509</v>
      </c>
      <c r="D557" s="267" t="s">
        <v>24</v>
      </c>
      <c r="E557" s="27" t="s">
        <v>25</v>
      </c>
      <c r="F557" s="72">
        <f>(0.7*0.7*3.55)*2</f>
        <v>3.4789999999999992</v>
      </c>
      <c r="G557" s="29">
        <v>2828000</v>
      </c>
      <c r="H557" s="45">
        <v>0.8</v>
      </c>
      <c r="I557" s="31">
        <v>1.1479999999999999</v>
      </c>
      <c r="J557" s="223">
        <f t="shared" ref="J557:J578" si="70">ROUND(F557*G557*H557*I557,-3)</f>
        <v>9036000</v>
      </c>
      <c r="K557" s="32">
        <f t="shared" ref="K557:K579" si="71">ROUND(G557*H557*I557*F557,-3)</f>
        <v>9036000</v>
      </c>
      <c r="L557" s="261">
        <f t="shared" si="57"/>
        <v>0</v>
      </c>
      <c r="M557" s="14"/>
    </row>
    <row r="558" spans="1:13" ht="38.25" x14ac:dyDescent="0.3">
      <c r="A558" s="69"/>
      <c r="B558" s="8"/>
      <c r="C558" s="82" t="s">
        <v>510</v>
      </c>
      <c r="D558" s="267" t="s">
        <v>26</v>
      </c>
      <c r="E558" s="27" t="s">
        <v>23</v>
      </c>
      <c r="F558" s="89">
        <f>3.35*2.8</f>
        <v>9.379999999999999</v>
      </c>
      <c r="G558" s="29">
        <v>679000</v>
      </c>
      <c r="H558" s="45">
        <v>0.8</v>
      </c>
      <c r="I558" s="31">
        <v>1.1479999999999999</v>
      </c>
      <c r="J558" s="223">
        <f t="shared" si="70"/>
        <v>5849000</v>
      </c>
      <c r="K558" s="32">
        <f t="shared" si="71"/>
        <v>5849000</v>
      </c>
      <c r="L558" s="261">
        <f t="shared" si="57"/>
        <v>0</v>
      </c>
      <c r="M558" s="14"/>
    </row>
    <row r="559" spans="1:13" ht="37.5" x14ac:dyDescent="0.3">
      <c r="A559" s="69"/>
      <c r="B559" s="8"/>
      <c r="C559" s="82" t="s">
        <v>511</v>
      </c>
      <c r="D559" s="270" t="s">
        <v>562</v>
      </c>
      <c r="E559" s="27" t="s">
        <v>23</v>
      </c>
      <c r="F559" s="72">
        <f>2*5.5+5.5*1.6</f>
        <v>19.8</v>
      </c>
      <c r="G559" s="29">
        <v>577000</v>
      </c>
      <c r="H559" s="45">
        <v>0.8</v>
      </c>
      <c r="I559" s="31">
        <v>1.1479999999999999</v>
      </c>
      <c r="J559" s="223">
        <f t="shared" si="70"/>
        <v>10492000</v>
      </c>
      <c r="K559" s="32">
        <f t="shared" si="71"/>
        <v>10492000</v>
      </c>
      <c r="L559" s="261">
        <f t="shared" si="57"/>
        <v>0</v>
      </c>
      <c r="M559" s="14"/>
    </row>
    <row r="560" spans="1:13" ht="38.25" x14ac:dyDescent="0.3">
      <c r="A560" s="69"/>
      <c r="B560" s="8"/>
      <c r="C560" s="82" t="s">
        <v>512</v>
      </c>
      <c r="D560" s="267" t="s">
        <v>24</v>
      </c>
      <c r="E560" s="27" t="s">
        <v>25</v>
      </c>
      <c r="F560" s="72">
        <f>(0.35*0.35*2.8)*11</f>
        <v>3.7729999999999992</v>
      </c>
      <c r="G560" s="29">
        <v>2828000</v>
      </c>
      <c r="H560" s="45">
        <v>0.8</v>
      </c>
      <c r="I560" s="31">
        <v>1.1479999999999999</v>
      </c>
      <c r="J560" s="223">
        <f t="shared" si="70"/>
        <v>9799000</v>
      </c>
      <c r="K560" s="32">
        <f t="shared" si="71"/>
        <v>9799000</v>
      </c>
      <c r="L560" s="261">
        <f t="shared" si="57"/>
        <v>0</v>
      </c>
      <c r="M560" s="14"/>
    </row>
    <row r="561" spans="1:13" ht="112.5" x14ac:dyDescent="0.3">
      <c r="A561" s="69"/>
      <c r="B561" s="8"/>
      <c r="C561" s="82" t="s">
        <v>513</v>
      </c>
      <c r="D561" s="270" t="s">
        <v>29</v>
      </c>
      <c r="E561" s="27" t="s">
        <v>23</v>
      </c>
      <c r="F561" s="72">
        <f>5.85*1.05+3*1.7+6.45*1.05+3.7*1.7+6.2*1.4+5.25*1.75+6.9*0.25+(7.5*0.25)*2+(7.25*0.25)*4+7.25*2.9+(5.3*0.4)*2+19.6*0.3</f>
        <v>86.04249999999999</v>
      </c>
      <c r="G561" s="29">
        <v>792000</v>
      </c>
      <c r="H561" s="45">
        <v>0.8</v>
      </c>
      <c r="I561" s="31">
        <v>1.1479999999999999</v>
      </c>
      <c r="J561" s="223">
        <f t="shared" si="70"/>
        <v>62585000</v>
      </c>
      <c r="K561" s="32">
        <f t="shared" si="71"/>
        <v>62585000</v>
      </c>
      <c r="L561" s="261">
        <f t="shared" si="57"/>
        <v>0</v>
      </c>
      <c r="M561" s="14"/>
    </row>
    <row r="562" spans="1:13" ht="75" x14ac:dyDescent="0.3">
      <c r="A562" s="69"/>
      <c r="B562" s="8"/>
      <c r="C562" s="82" t="s">
        <v>514</v>
      </c>
      <c r="D562" s="267" t="s">
        <v>24</v>
      </c>
      <c r="E562" s="8" t="s">
        <v>25</v>
      </c>
      <c r="F562" s="72">
        <f>6.9*0.55*0.1+6.9*0.3*0.05+7.5*0.55*0.1+7.5*0.3*0.05+(7.25*0.55*0.1)*2+(7.25*0.3*0.05)*2</f>
        <v>2.0230000000000001</v>
      </c>
      <c r="G562" s="29">
        <v>2828000</v>
      </c>
      <c r="H562" s="45">
        <v>0.8</v>
      </c>
      <c r="I562" s="31">
        <v>1.1479999999999999</v>
      </c>
      <c r="J562" s="223">
        <f t="shared" si="70"/>
        <v>5254000</v>
      </c>
      <c r="K562" s="32">
        <f t="shared" si="71"/>
        <v>5254000</v>
      </c>
      <c r="L562" s="261">
        <f t="shared" si="57"/>
        <v>0</v>
      </c>
      <c r="M562" s="14"/>
    </row>
    <row r="563" spans="1:13" ht="37.5" x14ac:dyDescent="0.3">
      <c r="A563" s="69"/>
      <c r="B563" s="8"/>
      <c r="C563" s="82" t="s">
        <v>515</v>
      </c>
      <c r="D563" s="270" t="s">
        <v>28</v>
      </c>
      <c r="E563" s="27" t="s">
        <v>23</v>
      </c>
      <c r="F563" s="72">
        <f>(0.6*7.8)*2+(8.4*0.6)*2+(7.25*0.6)*2</f>
        <v>28.139999999999997</v>
      </c>
      <c r="G563" s="11">
        <v>396000</v>
      </c>
      <c r="H563" s="45">
        <v>0.8</v>
      </c>
      <c r="I563" s="31">
        <v>1.1479999999999999</v>
      </c>
      <c r="J563" s="223">
        <f t="shared" si="70"/>
        <v>10234000</v>
      </c>
      <c r="K563" s="32">
        <f t="shared" si="71"/>
        <v>10234000</v>
      </c>
      <c r="L563" s="261">
        <f t="shared" si="57"/>
        <v>0</v>
      </c>
      <c r="M563" s="14"/>
    </row>
    <row r="564" spans="1:13" ht="39" customHeight="1" x14ac:dyDescent="0.3">
      <c r="A564" s="69"/>
      <c r="B564" s="8"/>
      <c r="C564" s="82" t="s">
        <v>1107</v>
      </c>
      <c r="D564" s="270" t="s">
        <v>31</v>
      </c>
      <c r="E564" s="71" t="s">
        <v>23</v>
      </c>
      <c r="F564" s="75">
        <f>3.9*6.6</f>
        <v>25.74</v>
      </c>
      <c r="G564" s="29">
        <v>339000</v>
      </c>
      <c r="H564" s="45">
        <v>0.8</v>
      </c>
      <c r="I564" s="31">
        <v>1.1479999999999999</v>
      </c>
      <c r="J564" s="223">
        <f t="shared" si="70"/>
        <v>8014000</v>
      </c>
      <c r="K564" s="32">
        <f t="shared" si="71"/>
        <v>8014000</v>
      </c>
      <c r="L564" s="261">
        <f t="shared" si="57"/>
        <v>0</v>
      </c>
      <c r="M564" s="14"/>
    </row>
    <row r="565" spans="1:13" s="289" customFormat="1" ht="38.25" x14ac:dyDescent="0.3">
      <c r="A565" s="69"/>
      <c r="B565" s="8"/>
      <c r="C565" s="82" t="s">
        <v>1108</v>
      </c>
      <c r="D565" s="271" t="s">
        <v>32</v>
      </c>
      <c r="E565" s="27" t="s">
        <v>23</v>
      </c>
      <c r="F565" s="72">
        <f>6.6*7.2+6.6*7.5</f>
        <v>97.02</v>
      </c>
      <c r="G565" s="29">
        <v>215000</v>
      </c>
      <c r="H565" s="45">
        <v>0.8</v>
      </c>
      <c r="I565" s="31">
        <v>1.1479999999999999</v>
      </c>
      <c r="J565" s="223">
        <f t="shared" si="70"/>
        <v>19157000</v>
      </c>
      <c r="K565" s="32">
        <f t="shared" si="71"/>
        <v>19157000</v>
      </c>
      <c r="L565" s="261">
        <f t="shared" si="57"/>
        <v>0</v>
      </c>
      <c r="M565" s="14"/>
    </row>
    <row r="566" spans="1:13" ht="45.75" customHeight="1" x14ac:dyDescent="0.3">
      <c r="A566" s="69"/>
      <c r="B566" s="8"/>
      <c r="C566" s="82" t="s">
        <v>321</v>
      </c>
      <c r="D566" s="278" t="s">
        <v>38</v>
      </c>
      <c r="E566" s="141" t="s">
        <v>39</v>
      </c>
      <c r="F566" s="98">
        <v>2</v>
      </c>
      <c r="G566" s="145">
        <v>1018000</v>
      </c>
      <c r="H566" s="45">
        <v>0.8</v>
      </c>
      <c r="I566" s="146">
        <v>1.1479999999999999</v>
      </c>
      <c r="J566" s="226">
        <f t="shared" si="70"/>
        <v>1870000</v>
      </c>
      <c r="K566" s="32">
        <f t="shared" si="71"/>
        <v>1870000</v>
      </c>
      <c r="L566" s="261">
        <f t="shared" si="57"/>
        <v>0</v>
      </c>
      <c r="M566" s="14"/>
    </row>
    <row r="567" spans="1:13" ht="37.5" x14ac:dyDescent="0.3">
      <c r="A567" s="69"/>
      <c r="B567" s="8"/>
      <c r="C567" s="82" t="s">
        <v>862</v>
      </c>
      <c r="D567" s="270" t="s">
        <v>90</v>
      </c>
      <c r="E567" s="71" t="s">
        <v>23</v>
      </c>
      <c r="F567" s="75">
        <f>3.8*5.8+6.4*0.6+6.9*0.4</f>
        <v>28.64</v>
      </c>
      <c r="G567" s="29">
        <v>181000</v>
      </c>
      <c r="H567" s="45">
        <v>0.8</v>
      </c>
      <c r="I567" s="31">
        <v>1.1479999999999999</v>
      </c>
      <c r="J567" s="223">
        <f t="shared" si="70"/>
        <v>4761000</v>
      </c>
      <c r="K567" s="32">
        <f t="shared" si="71"/>
        <v>4761000</v>
      </c>
      <c r="L567" s="261">
        <f t="shared" si="57"/>
        <v>0</v>
      </c>
      <c r="M567" s="14"/>
    </row>
    <row r="568" spans="1:13" ht="56.25" x14ac:dyDescent="0.3">
      <c r="A568" s="69"/>
      <c r="B568" s="8"/>
      <c r="C568" s="82" t="s">
        <v>516</v>
      </c>
      <c r="D568" s="193" t="s">
        <v>874</v>
      </c>
      <c r="E568" s="212" t="s">
        <v>929</v>
      </c>
      <c r="F568" s="195">
        <f>4.2*4.2</f>
        <v>17.64</v>
      </c>
      <c r="G568" s="46">
        <f>139000+(6605000*2)</f>
        <v>13349000</v>
      </c>
      <c r="H568" s="45">
        <v>0.8</v>
      </c>
      <c r="I568" s="31">
        <v>1.1479999999999999</v>
      </c>
      <c r="J568" s="224">
        <f t="shared" si="70"/>
        <v>216261000</v>
      </c>
      <c r="K568" s="32">
        <f t="shared" si="71"/>
        <v>216261000</v>
      </c>
      <c r="L568" s="261">
        <f t="shared" si="57"/>
        <v>0</v>
      </c>
      <c r="M568" s="14"/>
    </row>
    <row r="569" spans="1:13" ht="52.5" x14ac:dyDescent="0.3">
      <c r="A569" s="69"/>
      <c r="B569" s="8"/>
      <c r="C569" s="82" t="s">
        <v>517</v>
      </c>
      <c r="D569" s="193" t="s">
        <v>874</v>
      </c>
      <c r="E569" s="194" t="s">
        <v>875</v>
      </c>
      <c r="F569" s="195">
        <v>1</v>
      </c>
      <c r="G569" s="29">
        <v>4718000</v>
      </c>
      <c r="H569" s="45">
        <v>0.8</v>
      </c>
      <c r="I569" s="31">
        <v>1.1479999999999999</v>
      </c>
      <c r="J569" s="224">
        <f t="shared" si="70"/>
        <v>4333000</v>
      </c>
      <c r="K569" s="32">
        <f t="shared" si="71"/>
        <v>4333000</v>
      </c>
      <c r="L569" s="261">
        <f t="shared" ref="L569:L630" si="72">J569-K569</f>
        <v>0</v>
      </c>
      <c r="M569" s="14"/>
    </row>
    <row r="570" spans="1:13" ht="25.5" x14ac:dyDescent="0.3">
      <c r="A570" s="69"/>
      <c r="B570" s="8"/>
      <c r="C570" s="82" t="s">
        <v>518</v>
      </c>
      <c r="D570" s="192" t="s">
        <v>58</v>
      </c>
      <c r="E570" s="27" t="s">
        <v>35</v>
      </c>
      <c r="F570" s="196">
        <v>1</v>
      </c>
      <c r="G570" s="29">
        <v>1065100</v>
      </c>
      <c r="H570" s="50">
        <v>1</v>
      </c>
      <c r="I570" s="51">
        <v>1</v>
      </c>
      <c r="J570" s="223">
        <f t="shared" si="70"/>
        <v>1065000</v>
      </c>
      <c r="K570" s="32">
        <f t="shared" si="71"/>
        <v>1065000</v>
      </c>
      <c r="L570" s="261">
        <f t="shared" si="72"/>
        <v>0</v>
      </c>
      <c r="M570" s="14"/>
    </row>
    <row r="571" spans="1:13" ht="37.5" x14ac:dyDescent="0.3">
      <c r="A571" s="69"/>
      <c r="B571" s="8"/>
      <c r="C571" s="82" t="s">
        <v>519</v>
      </c>
      <c r="D571" s="272" t="s">
        <v>33</v>
      </c>
      <c r="E571" s="27" t="s">
        <v>23</v>
      </c>
      <c r="F571" s="72">
        <f>(3.4*1.3)*5+0.8*1</f>
        <v>22.900000000000002</v>
      </c>
      <c r="G571" s="29">
        <v>453000</v>
      </c>
      <c r="H571" s="45">
        <v>0.8</v>
      </c>
      <c r="I571" s="31">
        <v>1.1479999999999999</v>
      </c>
      <c r="J571" s="223">
        <f t="shared" si="70"/>
        <v>9527000</v>
      </c>
      <c r="K571" s="32">
        <f t="shared" si="71"/>
        <v>9527000</v>
      </c>
      <c r="L571" s="261">
        <f t="shared" si="72"/>
        <v>0</v>
      </c>
      <c r="M571" s="158"/>
    </row>
    <row r="572" spans="1:13" ht="38.25" x14ac:dyDescent="0.3">
      <c r="A572" s="69"/>
      <c r="B572" s="8"/>
      <c r="C572" s="82" t="s">
        <v>520</v>
      </c>
      <c r="D572" s="267" t="s">
        <v>89</v>
      </c>
      <c r="E572" s="71" t="s">
        <v>23</v>
      </c>
      <c r="F572" s="72">
        <f>(3.4*1.3)*5</f>
        <v>22.1</v>
      </c>
      <c r="G572" s="29">
        <v>11000</v>
      </c>
      <c r="H572" s="45">
        <v>0.8</v>
      </c>
      <c r="I572" s="31">
        <v>1.1479999999999999</v>
      </c>
      <c r="J572" s="223">
        <f t="shared" si="70"/>
        <v>223000</v>
      </c>
      <c r="K572" s="32">
        <f t="shared" si="71"/>
        <v>223000</v>
      </c>
      <c r="L572" s="261">
        <f t="shared" si="72"/>
        <v>0</v>
      </c>
      <c r="M572" s="14"/>
    </row>
    <row r="573" spans="1:13" ht="25.5" x14ac:dyDescent="0.3">
      <c r="A573" s="69"/>
      <c r="B573" s="8"/>
      <c r="C573" s="82" t="s">
        <v>521</v>
      </c>
      <c r="D573" s="279" t="s">
        <v>825</v>
      </c>
      <c r="E573" s="71" t="s">
        <v>35</v>
      </c>
      <c r="F573" s="98">
        <v>1</v>
      </c>
      <c r="G573" s="29">
        <v>4260400</v>
      </c>
      <c r="H573" s="37">
        <v>1</v>
      </c>
      <c r="I573" s="201">
        <v>1</v>
      </c>
      <c r="J573" s="223">
        <f t="shared" si="70"/>
        <v>4260000</v>
      </c>
      <c r="K573" s="32">
        <f t="shared" si="71"/>
        <v>4260000</v>
      </c>
      <c r="L573" s="261">
        <f t="shared" si="72"/>
        <v>0</v>
      </c>
      <c r="M573" s="14"/>
    </row>
    <row r="574" spans="1:13" ht="25.5" x14ac:dyDescent="0.3">
      <c r="A574" s="69"/>
      <c r="B574" s="8"/>
      <c r="C574" s="82" t="s">
        <v>522</v>
      </c>
      <c r="D574" s="192" t="s">
        <v>58</v>
      </c>
      <c r="E574" s="27" t="s">
        <v>35</v>
      </c>
      <c r="F574" s="196">
        <v>2</v>
      </c>
      <c r="G574" s="29">
        <v>21300</v>
      </c>
      <c r="H574" s="50">
        <v>1</v>
      </c>
      <c r="I574" s="51">
        <v>1</v>
      </c>
      <c r="J574" s="223">
        <f t="shared" si="70"/>
        <v>43000</v>
      </c>
      <c r="K574" s="32">
        <f t="shared" si="71"/>
        <v>43000</v>
      </c>
      <c r="L574" s="261">
        <f t="shared" si="72"/>
        <v>0</v>
      </c>
      <c r="M574" s="14"/>
    </row>
    <row r="575" spans="1:13" ht="25.5" x14ac:dyDescent="0.3">
      <c r="A575" s="69"/>
      <c r="B575" s="8"/>
      <c r="C575" s="82" t="s">
        <v>523</v>
      </c>
      <c r="D575" s="192" t="s">
        <v>58</v>
      </c>
      <c r="E575" s="27" t="s">
        <v>35</v>
      </c>
      <c r="F575" s="196">
        <v>1</v>
      </c>
      <c r="G575" s="29">
        <v>532550</v>
      </c>
      <c r="H575" s="50">
        <v>1</v>
      </c>
      <c r="I575" s="51">
        <v>1</v>
      </c>
      <c r="J575" s="223">
        <f t="shared" si="70"/>
        <v>533000</v>
      </c>
      <c r="K575" s="32">
        <f t="shared" si="71"/>
        <v>533000</v>
      </c>
      <c r="L575" s="261">
        <f t="shared" si="72"/>
        <v>0</v>
      </c>
      <c r="M575" s="14"/>
    </row>
    <row r="576" spans="1:13" ht="36" customHeight="1" x14ac:dyDescent="0.3">
      <c r="A576" s="69"/>
      <c r="B576" s="8"/>
      <c r="C576" s="82" t="s">
        <v>524</v>
      </c>
      <c r="D576" s="276" t="s">
        <v>41</v>
      </c>
      <c r="E576" s="59" t="s">
        <v>42</v>
      </c>
      <c r="F576" s="98">
        <v>14</v>
      </c>
      <c r="G576" s="11">
        <v>31950</v>
      </c>
      <c r="H576" s="60">
        <v>1</v>
      </c>
      <c r="I576" s="61">
        <v>1</v>
      </c>
      <c r="J576" s="223">
        <f t="shared" si="70"/>
        <v>447000</v>
      </c>
      <c r="K576" s="32">
        <f t="shared" si="71"/>
        <v>447000</v>
      </c>
      <c r="L576" s="261">
        <f t="shared" si="72"/>
        <v>0</v>
      </c>
      <c r="M576" s="14"/>
    </row>
    <row r="577" spans="1:256" ht="36" customHeight="1" x14ac:dyDescent="0.3">
      <c r="A577" s="69"/>
      <c r="B577" s="8"/>
      <c r="C577" s="82" t="s">
        <v>525</v>
      </c>
      <c r="D577" s="276" t="s">
        <v>41</v>
      </c>
      <c r="E577" s="59" t="s">
        <v>42</v>
      </c>
      <c r="F577" s="98">
        <v>22</v>
      </c>
      <c r="G577" s="11">
        <v>10650</v>
      </c>
      <c r="H577" s="60">
        <v>1</v>
      </c>
      <c r="I577" s="61">
        <v>1</v>
      </c>
      <c r="J577" s="223">
        <f t="shared" si="70"/>
        <v>234000</v>
      </c>
      <c r="K577" s="32">
        <f t="shared" si="71"/>
        <v>234000</v>
      </c>
      <c r="L577" s="261">
        <f t="shared" si="72"/>
        <v>0</v>
      </c>
      <c r="M577" s="14"/>
    </row>
    <row r="578" spans="1:256" ht="37.5" x14ac:dyDescent="0.3">
      <c r="A578" s="69"/>
      <c r="B578" s="8"/>
      <c r="C578" s="82" t="s">
        <v>827</v>
      </c>
      <c r="D578" s="277" t="s">
        <v>824</v>
      </c>
      <c r="E578" s="174" t="s">
        <v>828</v>
      </c>
      <c r="F578" s="72">
        <f>28.9*0.35</f>
        <v>10.114999999999998</v>
      </c>
      <c r="G578" s="180">
        <v>3200</v>
      </c>
      <c r="H578" s="50">
        <v>1</v>
      </c>
      <c r="I578" s="51">
        <v>1</v>
      </c>
      <c r="J578" s="229">
        <f t="shared" si="70"/>
        <v>32000</v>
      </c>
      <c r="K578" s="32">
        <f t="shared" si="71"/>
        <v>32000</v>
      </c>
      <c r="L578" s="261">
        <f t="shared" si="72"/>
        <v>0</v>
      </c>
      <c r="M578" s="14"/>
    </row>
    <row r="579" spans="1:256" s="289" customFormat="1" ht="61.5" customHeight="1" x14ac:dyDescent="0.3">
      <c r="A579" s="149">
        <v>35</v>
      </c>
      <c r="B579" s="150" t="s">
        <v>1346</v>
      </c>
      <c r="C579" s="461" t="s">
        <v>1347</v>
      </c>
      <c r="D579" s="462"/>
      <c r="E579" s="462"/>
      <c r="F579" s="462"/>
      <c r="G579" s="462"/>
      <c r="H579" s="462"/>
      <c r="I579" s="463"/>
      <c r="J579" s="221">
        <f>SUM(J580:J591)</f>
        <v>1314125000</v>
      </c>
      <c r="K579" s="32">
        <f t="shared" si="71"/>
        <v>0</v>
      </c>
      <c r="L579" s="2"/>
      <c r="M579" s="24"/>
    </row>
    <row r="580" spans="1:256" s="290" customFormat="1" ht="78.75" customHeight="1" x14ac:dyDescent="0.3">
      <c r="A580" s="211"/>
      <c r="B580" s="17"/>
      <c r="C580" s="25" t="s">
        <v>1109</v>
      </c>
      <c r="D580" s="267" t="s">
        <v>112</v>
      </c>
      <c r="E580" s="27" t="s">
        <v>23</v>
      </c>
      <c r="F580" s="35">
        <v>179.8</v>
      </c>
      <c r="G580" s="49">
        <v>8700000</v>
      </c>
      <c r="H580" s="286">
        <f>59.5%</f>
        <v>0.59499999999999997</v>
      </c>
      <c r="I580" s="268">
        <v>1.4</v>
      </c>
      <c r="J580" s="32">
        <f>ROUND(F580*G580*H580*I580,-3)</f>
        <v>1303029000</v>
      </c>
      <c r="K580" s="39">
        <f>ROUND(F580*G580*H580*I580,-3)</f>
        <v>1303029000</v>
      </c>
      <c r="L580" s="262">
        <f>J580-K580</f>
        <v>0</v>
      </c>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c r="CF580" s="14"/>
      <c r="CG580" s="14"/>
      <c r="CH580" s="14"/>
      <c r="CI580" s="14"/>
      <c r="CJ580" s="14"/>
      <c r="CK580" s="14"/>
      <c r="CL580" s="14"/>
      <c r="CM580" s="14"/>
      <c r="CN580" s="14"/>
      <c r="CO580" s="14"/>
      <c r="CP580" s="14"/>
      <c r="CQ580" s="14"/>
      <c r="CR580" s="14"/>
      <c r="CS580" s="14"/>
      <c r="CT580" s="14"/>
      <c r="CU580" s="14"/>
      <c r="CV580" s="14"/>
      <c r="CW580" s="14"/>
      <c r="CX580" s="14"/>
      <c r="CY580" s="14"/>
      <c r="CZ580" s="14"/>
      <c r="DA580" s="14"/>
      <c r="DB580" s="14"/>
      <c r="DC580" s="14"/>
      <c r="DD580" s="14"/>
      <c r="DE580" s="14"/>
      <c r="DF580" s="14"/>
      <c r="DG580" s="14"/>
      <c r="DH580" s="14"/>
      <c r="DI580" s="14"/>
      <c r="DJ580" s="14"/>
      <c r="DK580" s="14"/>
      <c r="DL580" s="14"/>
      <c r="DM580" s="14"/>
      <c r="DN580" s="14"/>
      <c r="DO580" s="14"/>
      <c r="DP580" s="14"/>
      <c r="DQ580" s="14"/>
      <c r="DR580" s="14"/>
      <c r="DS580" s="14"/>
      <c r="DT580" s="14"/>
      <c r="DU580" s="14"/>
      <c r="DV580" s="14"/>
      <c r="DW580" s="14"/>
      <c r="DX580" s="14"/>
      <c r="DY580" s="14"/>
      <c r="DZ580" s="14"/>
      <c r="EA580" s="14"/>
      <c r="EB580" s="14"/>
      <c r="EC580" s="14"/>
      <c r="ED580" s="14"/>
      <c r="EE580" s="14"/>
      <c r="EF580" s="14"/>
      <c r="EG580" s="14"/>
      <c r="EH580" s="14"/>
      <c r="EI580" s="14"/>
      <c r="EJ580" s="14"/>
      <c r="EK580" s="14"/>
      <c r="EL580" s="14"/>
      <c r="EM580" s="14"/>
      <c r="EN580" s="14"/>
      <c r="EO580" s="14"/>
      <c r="EP580" s="14"/>
      <c r="EQ580" s="14"/>
      <c r="ER580" s="14"/>
      <c r="ES580" s="14"/>
      <c r="ET580" s="14"/>
      <c r="EU580" s="14"/>
      <c r="EV580" s="14"/>
      <c r="EW580" s="14"/>
      <c r="EX580" s="14"/>
      <c r="EY580" s="14"/>
      <c r="EZ580" s="14"/>
      <c r="FA580" s="14"/>
      <c r="FB580" s="14"/>
      <c r="FC580" s="14"/>
      <c r="FD580" s="14"/>
      <c r="FE580" s="14"/>
      <c r="FF580" s="14"/>
      <c r="FG580" s="14"/>
      <c r="FH580" s="14"/>
      <c r="FI580" s="14"/>
      <c r="FJ580" s="14"/>
      <c r="FK580" s="14"/>
      <c r="FL580" s="14"/>
      <c r="FM580" s="14"/>
      <c r="FN580" s="14"/>
      <c r="FO580" s="14"/>
      <c r="FP580" s="14"/>
      <c r="FQ580" s="14"/>
      <c r="FR580" s="14"/>
      <c r="FS580" s="14"/>
      <c r="FT580" s="14"/>
      <c r="FU580" s="14"/>
      <c r="FV580" s="14"/>
      <c r="FW580" s="14"/>
      <c r="FX580" s="14"/>
      <c r="FY580" s="14"/>
      <c r="FZ580" s="14"/>
      <c r="GA580" s="14"/>
      <c r="GB580" s="14"/>
      <c r="GC580" s="14"/>
      <c r="GD580" s="14"/>
      <c r="GE580" s="14"/>
      <c r="GF580" s="14"/>
      <c r="GG580" s="14"/>
      <c r="GH580" s="14"/>
      <c r="GI580" s="14"/>
      <c r="GJ580" s="14"/>
      <c r="GK580" s="14"/>
      <c r="GL580" s="14"/>
      <c r="GM580" s="14"/>
      <c r="GN580" s="14"/>
      <c r="GO580" s="14"/>
      <c r="GP580" s="14"/>
      <c r="GQ580" s="14"/>
      <c r="GR580" s="14"/>
      <c r="GS580" s="14"/>
      <c r="GT580" s="14"/>
      <c r="GU580" s="14"/>
      <c r="GV580" s="14"/>
      <c r="GW580" s="14"/>
      <c r="GX580" s="14"/>
      <c r="GY580" s="14"/>
      <c r="GZ580" s="14"/>
      <c r="HA580" s="14"/>
      <c r="HB580" s="14"/>
      <c r="HC580" s="14"/>
      <c r="HD580" s="14"/>
      <c r="HE580" s="14"/>
      <c r="HF580" s="14"/>
      <c r="HG580" s="14"/>
      <c r="HH580" s="14"/>
      <c r="HI580" s="14"/>
      <c r="HJ580" s="14"/>
      <c r="HK580" s="14"/>
      <c r="HL580" s="14"/>
      <c r="HM580" s="14"/>
      <c r="HN580" s="14"/>
      <c r="HO580" s="14"/>
      <c r="HP580" s="14"/>
      <c r="HQ580" s="14"/>
      <c r="HR580" s="14"/>
      <c r="HS580" s="14"/>
      <c r="HT580" s="14"/>
      <c r="HU580" s="14"/>
      <c r="HV580" s="14"/>
      <c r="HW580" s="14"/>
      <c r="HX580" s="14"/>
      <c r="HY580" s="14"/>
      <c r="HZ580" s="14"/>
      <c r="IA580" s="14"/>
      <c r="IB580" s="14"/>
      <c r="IC580" s="14"/>
      <c r="ID580" s="14"/>
      <c r="IE580" s="14"/>
      <c r="IF580" s="14"/>
      <c r="IG580" s="14"/>
      <c r="IH580" s="14"/>
      <c r="II580" s="14"/>
      <c r="IJ580" s="14"/>
      <c r="IK580" s="14"/>
      <c r="IL580" s="14"/>
      <c r="IM580" s="14"/>
      <c r="IN580" s="14"/>
      <c r="IO580" s="14"/>
      <c r="IP580" s="14"/>
      <c r="IQ580" s="14"/>
      <c r="IR580" s="14"/>
      <c r="IS580" s="14"/>
      <c r="IT580" s="14"/>
      <c r="IU580" s="14"/>
      <c r="IV580" s="14"/>
    </row>
    <row r="581" spans="1:256" s="289" customFormat="1" ht="90" customHeight="1" x14ac:dyDescent="0.25">
      <c r="A581" s="67"/>
      <c r="B581" s="68"/>
      <c r="C581" s="25" t="s">
        <v>1062</v>
      </c>
      <c r="D581" s="267" t="s">
        <v>112</v>
      </c>
      <c r="E581" s="27" t="s">
        <v>23</v>
      </c>
      <c r="F581" s="35">
        <v>49.4</v>
      </c>
      <c r="G581" s="464" t="s">
        <v>1063</v>
      </c>
      <c r="H581" s="464"/>
      <c r="I581" s="465"/>
      <c r="J581" s="227"/>
      <c r="K581" s="32"/>
      <c r="L581" s="261">
        <f>J581-K581</f>
        <v>0</v>
      </c>
      <c r="M581" s="251"/>
    </row>
    <row r="582" spans="1:256" s="289" customFormat="1" ht="38.25" x14ac:dyDescent="0.3">
      <c r="A582" s="69"/>
      <c r="B582" s="8"/>
      <c r="C582" s="82" t="s">
        <v>1348</v>
      </c>
      <c r="D582" s="267" t="s">
        <v>24</v>
      </c>
      <c r="E582" s="27" t="s">
        <v>25</v>
      </c>
      <c r="F582" s="72">
        <f>(0.15*0.15*2)*12</f>
        <v>0.54</v>
      </c>
      <c r="G582" s="29">
        <v>2828000</v>
      </c>
      <c r="H582" s="45">
        <v>0.8</v>
      </c>
      <c r="I582" s="31">
        <v>1.1479999999999999</v>
      </c>
      <c r="J582" s="223">
        <f t="shared" ref="J582:J591" si="73">ROUND(F582*G582*H582*I582,-3)</f>
        <v>1403000</v>
      </c>
      <c r="K582" s="32">
        <f t="shared" ref="K582:K591" si="74">ROUND(G582*H582*I582*F582,-3)</f>
        <v>1403000</v>
      </c>
      <c r="L582" s="2"/>
      <c r="M582" s="14"/>
    </row>
    <row r="583" spans="1:256" s="289" customFormat="1" ht="38.25" x14ac:dyDescent="0.3">
      <c r="A583" s="69"/>
      <c r="B583" s="8"/>
      <c r="C583" s="82" t="s">
        <v>1349</v>
      </c>
      <c r="D583" s="267" t="s">
        <v>89</v>
      </c>
      <c r="E583" s="71" t="s">
        <v>23</v>
      </c>
      <c r="F583" s="72">
        <f>34.5*2.5+8.4*2.5</f>
        <v>107.25</v>
      </c>
      <c r="G583" s="29">
        <v>11000</v>
      </c>
      <c r="H583" s="45">
        <v>0.8</v>
      </c>
      <c r="I583" s="31">
        <v>1.1479999999999999</v>
      </c>
      <c r="J583" s="223">
        <f t="shared" si="73"/>
        <v>1083000</v>
      </c>
      <c r="K583" s="32">
        <f t="shared" si="74"/>
        <v>1083000</v>
      </c>
      <c r="L583" s="2"/>
      <c r="M583" s="14"/>
    </row>
    <row r="584" spans="1:256" s="289" customFormat="1" ht="25.5" x14ac:dyDescent="0.3">
      <c r="A584" s="69"/>
      <c r="B584" s="8"/>
      <c r="C584" s="82" t="s">
        <v>1350</v>
      </c>
      <c r="D584" s="192" t="s">
        <v>58</v>
      </c>
      <c r="E584" s="27" t="s">
        <v>35</v>
      </c>
      <c r="F584" s="98">
        <v>3</v>
      </c>
      <c r="G584" s="29">
        <v>1065100</v>
      </c>
      <c r="H584" s="50">
        <v>1</v>
      </c>
      <c r="I584" s="51">
        <v>1</v>
      </c>
      <c r="J584" s="223">
        <f t="shared" si="73"/>
        <v>3195000</v>
      </c>
      <c r="K584" s="32">
        <f t="shared" si="74"/>
        <v>3195000</v>
      </c>
      <c r="L584" s="2"/>
      <c r="M584" s="14"/>
    </row>
    <row r="585" spans="1:256" s="289" customFormat="1" ht="25.5" x14ac:dyDescent="0.3">
      <c r="A585" s="69"/>
      <c r="B585" s="8"/>
      <c r="C585" s="82" t="s">
        <v>433</v>
      </c>
      <c r="D585" s="277" t="s">
        <v>164</v>
      </c>
      <c r="E585" s="27" t="s">
        <v>35</v>
      </c>
      <c r="F585" s="98">
        <v>1</v>
      </c>
      <c r="G585" s="29">
        <v>40910</v>
      </c>
      <c r="H585" s="50">
        <v>1</v>
      </c>
      <c r="I585" s="51">
        <v>1</v>
      </c>
      <c r="J585" s="223">
        <f t="shared" si="73"/>
        <v>41000</v>
      </c>
      <c r="K585" s="32">
        <f t="shared" si="74"/>
        <v>41000</v>
      </c>
      <c r="L585" s="2"/>
      <c r="M585" s="14"/>
    </row>
    <row r="586" spans="1:256" s="289" customFormat="1" ht="25.5" x14ac:dyDescent="0.3">
      <c r="A586" s="69"/>
      <c r="B586" s="8"/>
      <c r="C586" s="82" t="s">
        <v>1351</v>
      </c>
      <c r="D586" s="343" t="s">
        <v>867</v>
      </c>
      <c r="E586" s="182" t="s">
        <v>35</v>
      </c>
      <c r="F586" s="98">
        <v>51</v>
      </c>
      <c r="G586" s="29">
        <v>26730</v>
      </c>
      <c r="H586" s="45">
        <v>0.8</v>
      </c>
      <c r="I586" s="51">
        <v>1</v>
      </c>
      <c r="J586" s="224">
        <f t="shared" si="73"/>
        <v>1091000</v>
      </c>
      <c r="K586" s="32">
        <f t="shared" si="74"/>
        <v>1091000</v>
      </c>
      <c r="L586" s="2"/>
      <c r="M586" s="14"/>
    </row>
    <row r="587" spans="1:256" s="289" customFormat="1" ht="25.5" x14ac:dyDescent="0.3">
      <c r="A587" s="69"/>
      <c r="B587" s="8"/>
      <c r="C587" s="82" t="s">
        <v>1352</v>
      </c>
      <c r="D587" s="192" t="s">
        <v>100</v>
      </c>
      <c r="E587" s="27" t="s">
        <v>35</v>
      </c>
      <c r="F587" s="196">
        <v>88</v>
      </c>
      <c r="G587" s="29">
        <v>38340</v>
      </c>
      <c r="H587" s="50">
        <v>1</v>
      </c>
      <c r="I587" s="51">
        <v>1</v>
      </c>
      <c r="J587" s="223">
        <f t="shared" si="73"/>
        <v>3374000</v>
      </c>
      <c r="K587" s="32">
        <f t="shared" si="74"/>
        <v>3374000</v>
      </c>
      <c r="L587" s="2"/>
      <c r="M587" s="14"/>
    </row>
    <row r="588" spans="1:256" s="289" customFormat="1" ht="25.5" x14ac:dyDescent="0.3">
      <c r="A588" s="69"/>
      <c r="B588" s="8"/>
      <c r="C588" s="82" t="s">
        <v>1353</v>
      </c>
      <c r="D588" s="192" t="s">
        <v>102</v>
      </c>
      <c r="E588" s="27" t="s">
        <v>35</v>
      </c>
      <c r="F588" s="196">
        <v>1</v>
      </c>
      <c r="G588" s="29">
        <v>75620</v>
      </c>
      <c r="H588" s="50">
        <v>1</v>
      </c>
      <c r="I588" s="51">
        <v>1</v>
      </c>
      <c r="J588" s="223">
        <f t="shared" si="73"/>
        <v>76000</v>
      </c>
      <c r="K588" s="32">
        <f t="shared" si="74"/>
        <v>76000</v>
      </c>
      <c r="L588" s="2"/>
      <c r="M588" s="14"/>
    </row>
    <row r="589" spans="1:256" s="289" customFormat="1" ht="25.5" x14ac:dyDescent="0.3">
      <c r="A589" s="69"/>
      <c r="B589" s="8"/>
      <c r="C589" s="82" t="s">
        <v>1354</v>
      </c>
      <c r="D589" s="192" t="s">
        <v>1355</v>
      </c>
      <c r="E589" s="27" t="s">
        <v>23</v>
      </c>
      <c r="F589" s="196">
        <v>68</v>
      </c>
      <c r="G589" s="29">
        <v>4220</v>
      </c>
      <c r="H589" s="50">
        <v>1</v>
      </c>
      <c r="I589" s="51">
        <v>1</v>
      </c>
      <c r="J589" s="223">
        <f t="shared" si="73"/>
        <v>287000</v>
      </c>
      <c r="K589" s="32">
        <f t="shared" si="74"/>
        <v>287000</v>
      </c>
      <c r="L589" s="2"/>
      <c r="M589" s="14"/>
    </row>
    <row r="590" spans="1:256" s="289" customFormat="1" ht="38.25" x14ac:dyDescent="0.3">
      <c r="A590" s="69"/>
      <c r="B590" s="8"/>
      <c r="C590" s="82" t="s">
        <v>115</v>
      </c>
      <c r="D590" s="273" t="s">
        <v>44</v>
      </c>
      <c r="E590" s="63" t="s">
        <v>45</v>
      </c>
      <c r="F590" s="77">
        <v>8.5</v>
      </c>
      <c r="G590" s="46">
        <v>28000</v>
      </c>
      <c r="H590" s="45">
        <v>1</v>
      </c>
      <c r="I590" s="31">
        <v>1.1479999999999999</v>
      </c>
      <c r="J590" s="223">
        <f t="shared" si="73"/>
        <v>273000</v>
      </c>
      <c r="K590" s="32">
        <f t="shared" si="74"/>
        <v>273000</v>
      </c>
      <c r="L590" s="2"/>
      <c r="M590" s="14"/>
    </row>
    <row r="591" spans="1:256" s="289" customFormat="1" ht="38.25" x14ac:dyDescent="0.3">
      <c r="A591" s="69"/>
      <c r="B591" s="8"/>
      <c r="C591" s="82" t="s">
        <v>114</v>
      </c>
      <c r="D591" s="271" t="s">
        <v>47</v>
      </c>
      <c r="E591" s="63" t="s">
        <v>45</v>
      </c>
      <c r="F591" s="77">
        <v>8.5</v>
      </c>
      <c r="G591" s="46">
        <v>28000</v>
      </c>
      <c r="H591" s="45">
        <v>1</v>
      </c>
      <c r="I591" s="31">
        <v>1.1479999999999999</v>
      </c>
      <c r="J591" s="223">
        <f t="shared" si="73"/>
        <v>273000</v>
      </c>
      <c r="K591" s="32">
        <f t="shared" si="74"/>
        <v>273000</v>
      </c>
      <c r="L591" s="2"/>
      <c r="M591" s="14"/>
    </row>
    <row r="592" spans="1:256" ht="61.5" customHeight="1" x14ac:dyDescent="0.3">
      <c r="A592" s="149">
        <v>25</v>
      </c>
      <c r="B592" s="150" t="s">
        <v>526</v>
      </c>
      <c r="C592" s="455" t="s">
        <v>527</v>
      </c>
      <c r="D592" s="456"/>
      <c r="E592" s="456"/>
      <c r="F592" s="456"/>
      <c r="G592" s="456"/>
      <c r="H592" s="456"/>
      <c r="I592" s="457"/>
      <c r="J592" s="221">
        <f>SUM(J593:J608)</f>
        <v>72589000</v>
      </c>
      <c r="K592" s="32">
        <f>ROUND(G592*H592*I592*F592,-3)</f>
        <v>0</v>
      </c>
      <c r="L592" s="261">
        <f t="shared" si="72"/>
        <v>72589000</v>
      </c>
      <c r="M592" s="24"/>
    </row>
    <row r="593" spans="1:13" ht="90" customHeight="1" x14ac:dyDescent="0.3">
      <c r="A593" s="67"/>
      <c r="B593" s="68"/>
      <c r="C593" s="20" t="s">
        <v>528</v>
      </c>
      <c r="D593" s="267"/>
      <c r="E593" s="27" t="s">
        <v>23</v>
      </c>
      <c r="F593" s="35">
        <v>24.6</v>
      </c>
      <c r="G593" s="464" t="s">
        <v>1040</v>
      </c>
      <c r="H593" s="464"/>
      <c r="I593" s="465"/>
      <c r="J593" s="227"/>
      <c r="K593" s="32"/>
      <c r="L593" s="261">
        <f t="shared" si="72"/>
        <v>0</v>
      </c>
      <c r="M593" s="14"/>
    </row>
    <row r="594" spans="1:13" ht="61.5" customHeight="1" x14ac:dyDescent="0.3">
      <c r="A594" s="69"/>
      <c r="B594" s="8"/>
      <c r="C594" s="82" t="s">
        <v>529</v>
      </c>
      <c r="D594" s="192" t="s">
        <v>877</v>
      </c>
      <c r="E594" s="174" t="s">
        <v>828</v>
      </c>
      <c r="F594" s="89">
        <f>7.3*4.6</f>
        <v>33.58</v>
      </c>
      <c r="G594" s="39">
        <v>284000</v>
      </c>
      <c r="H594" s="45">
        <v>0.8</v>
      </c>
      <c r="I594" s="159">
        <v>1.1479999999999999</v>
      </c>
      <c r="J594" s="224">
        <f t="shared" ref="J594:J608" si="75">ROUND(F594*G594*H594*I594,-3)</f>
        <v>8759000</v>
      </c>
      <c r="K594" s="32">
        <f t="shared" ref="K594:K614" si="76">ROUND(G594*H594*I594*F594,-3)</f>
        <v>8759000</v>
      </c>
      <c r="L594" s="261">
        <f t="shared" si="72"/>
        <v>0</v>
      </c>
      <c r="M594" s="14"/>
    </row>
    <row r="595" spans="1:13" ht="61.5" customHeight="1" x14ac:dyDescent="0.3">
      <c r="A595" s="69"/>
      <c r="B595" s="8"/>
      <c r="C595" s="70" t="s">
        <v>530</v>
      </c>
      <c r="D595" s="270" t="s">
        <v>66</v>
      </c>
      <c r="E595" s="27" t="s">
        <v>23</v>
      </c>
      <c r="F595" s="72">
        <f>4.6*0.25</f>
        <v>1.1499999999999999</v>
      </c>
      <c r="G595" s="29">
        <v>339000</v>
      </c>
      <c r="H595" s="45">
        <v>0.8</v>
      </c>
      <c r="I595" s="31">
        <v>1.1479999999999999</v>
      </c>
      <c r="J595" s="223">
        <f t="shared" si="75"/>
        <v>358000</v>
      </c>
      <c r="K595" s="32">
        <f t="shared" si="76"/>
        <v>358000</v>
      </c>
      <c r="L595" s="261">
        <f t="shared" si="72"/>
        <v>0</v>
      </c>
      <c r="M595" s="14"/>
    </row>
    <row r="596" spans="1:13" ht="61.5" customHeight="1" x14ac:dyDescent="0.3">
      <c r="A596" s="69"/>
      <c r="B596" s="8"/>
      <c r="C596" s="82" t="s">
        <v>531</v>
      </c>
      <c r="D596" s="270" t="s">
        <v>29</v>
      </c>
      <c r="E596" s="27" t="s">
        <v>23</v>
      </c>
      <c r="F596" s="89">
        <f>5.3*1.8</f>
        <v>9.5399999999999991</v>
      </c>
      <c r="G596" s="29">
        <v>792000</v>
      </c>
      <c r="H596" s="45">
        <v>0.8</v>
      </c>
      <c r="I596" s="31">
        <v>1.1479999999999999</v>
      </c>
      <c r="J596" s="223">
        <f t="shared" si="75"/>
        <v>6939000</v>
      </c>
      <c r="K596" s="32">
        <f t="shared" si="76"/>
        <v>6939000</v>
      </c>
      <c r="L596" s="261">
        <f t="shared" si="72"/>
        <v>0</v>
      </c>
      <c r="M596" s="14"/>
    </row>
    <row r="597" spans="1:13" ht="61.5" customHeight="1" x14ac:dyDescent="0.3">
      <c r="A597" s="69"/>
      <c r="B597" s="8"/>
      <c r="C597" s="82" t="s">
        <v>532</v>
      </c>
      <c r="D597" s="270" t="s">
        <v>66</v>
      </c>
      <c r="E597" s="27" t="s">
        <v>23</v>
      </c>
      <c r="F597" s="72">
        <f>0.95*1.8+1.8*0.95</f>
        <v>3.42</v>
      </c>
      <c r="G597" s="29">
        <v>339000</v>
      </c>
      <c r="H597" s="45">
        <v>0.8</v>
      </c>
      <c r="I597" s="31">
        <v>1.1479999999999999</v>
      </c>
      <c r="J597" s="223">
        <f t="shared" si="75"/>
        <v>1065000</v>
      </c>
      <c r="K597" s="32">
        <f t="shared" si="76"/>
        <v>1065000</v>
      </c>
      <c r="L597" s="261">
        <f t="shared" si="72"/>
        <v>0</v>
      </c>
      <c r="M597" s="14"/>
    </row>
    <row r="598" spans="1:13" ht="61.5" customHeight="1" x14ac:dyDescent="0.3">
      <c r="A598" s="69"/>
      <c r="B598" s="8"/>
      <c r="C598" s="82" t="s">
        <v>533</v>
      </c>
      <c r="D598" s="270" t="s">
        <v>66</v>
      </c>
      <c r="E598" s="27" t="s">
        <v>23</v>
      </c>
      <c r="F598" s="72">
        <f>0.9*5.3+3.4*0.8</f>
        <v>7.49</v>
      </c>
      <c r="G598" s="29">
        <v>339000</v>
      </c>
      <c r="H598" s="45">
        <v>0.8</v>
      </c>
      <c r="I598" s="31">
        <v>1.1479999999999999</v>
      </c>
      <c r="J598" s="223">
        <f t="shared" si="75"/>
        <v>2332000</v>
      </c>
      <c r="K598" s="32">
        <f t="shared" si="76"/>
        <v>2332000</v>
      </c>
      <c r="L598" s="261">
        <f t="shared" si="72"/>
        <v>0</v>
      </c>
      <c r="M598" s="14"/>
    </row>
    <row r="599" spans="1:13" ht="61.5" customHeight="1" x14ac:dyDescent="0.3">
      <c r="A599" s="69"/>
      <c r="B599" s="8"/>
      <c r="C599" s="82" t="s">
        <v>823</v>
      </c>
      <c r="D599" s="270" t="s">
        <v>51</v>
      </c>
      <c r="E599" s="27" t="s">
        <v>23</v>
      </c>
      <c r="F599" s="72">
        <f>5.3*4.6</f>
        <v>24.38</v>
      </c>
      <c r="G599" s="29">
        <v>453000</v>
      </c>
      <c r="H599" s="45">
        <v>0.8</v>
      </c>
      <c r="I599" s="102">
        <v>1.1479999999999999</v>
      </c>
      <c r="J599" s="223">
        <f t="shared" si="75"/>
        <v>10143000</v>
      </c>
      <c r="K599" s="32">
        <f t="shared" si="76"/>
        <v>10143000</v>
      </c>
      <c r="L599" s="261">
        <f t="shared" si="72"/>
        <v>0</v>
      </c>
      <c r="M599" s="14"/>
    </row>
    <row r="600" spans="1:13" ht="61.5" customHeight="1" x14ac:dyDescent="0.3">
      <c r="A600" s="69"/>
      <c r="B600" s="8"/>
      <c r="C600" s="82" t="s">
        <v>534</v>
      </c>
      <c r="D600" s="270" t="s">
        <v>80</v>
      </c>
      <c r="E600" s="71" t="s">
        <v>23</v>
      </c>
      <c r="F600" s="72">
        <f>0.9*5.3</f>
        <v>4.7699999999999996</v>
      </c>
      <c r="G600" s="29">
        <v>385000</v>
      </c>
      <c r="H600" s="45">
        <v>0.8</v>
      </c>
      <c r="I600" s="31">
        <v>1.1479999999999999</v>
      </c>
      <c r="J600" s="223">
        <f t="shared" si="75"/>
        <v>1687000</v>
      </c>
      <c r="K600" s="32">
        <f t="shared" si="76"/>
        <v>1687000</v>
      </c>
      <c r="L600" s="261">
        <f t="shared" si="72"/>
        <v>0</v>
      </c>
      <c r="M600" s="14"/>
    </row>
    <row r="601" spans="1:13" ht="61.5" customHeight="1" x14ac:dyDescent="0.3">
      <c r="A601" s="69"/>
      <c r="B601" s="8"/>
      <c r="C601" s="82" t="s">
        <v>535</v>
      </c>
      <c r="D601" s="276" t="s">
        <v>41</v>
      </c>
      <c r="E601" s="59" t="s">
        <v>42</v>
      </c>
      <c r="F601" s="98">
        <v>1</v>
      </c>
      <c r="G601" s="11">
        <v>10650</v>
      </c>
      <c r="H601" s="60">
        <v>1</v>
      </c>
      <c r="I601" s="61">
        <v>1</v>
      </c>
      <c r="J601" s="223">
        <f t="shared" si="75"/>
        <v>11000</v>
      </c>
      <c r="K601" s="32">
        <f t="shared" si="76"/>
        <v>11000</v>
      </c>
      <c r="L601" s="261">
        <f t="shared" si="72"/>
        <v>0</v>
      </c>
      <c r="M601" s="14"/>
    </row>
    <row r="602" spans="1:13" ht="61.5" customHeight="1" x14ac:dyDescent="0.3">
      <c r="A602" s="69"/>
      <c r="B602" s="8"/>
      <c r="C602" s="82" t="s">
        <v>536</v>
      </c>
      <c r="D602" s="267" t="s">
        <v>56</v>
      </c>
      <c r="E602" s="27" t="s">
        <v>23</v>
      </c>
      <c r="F602" s="72">
        <f>5.5*4.6</f>
        <v>25.299999999999997</v>
      </c>
      <c r="G602" s="29">
        <v>735000</v>
      </c>
      <c r="H602" s="45">
        <v>0.8</v>
      </c>
      <c r="I602" s="31">
        <v>1.1479999999999999</v>
      </c>
      <c r="J602" s="223">
        <f t="shared" si="75"/>
        <v>17078000</v>
      </c>
      <c r="K602" s="32">
        <f t="shared" si="76"/>
        <v>17078000</v>
      </c>
      <c r="L602" s="261">
        <f t="shared" si="72"/>
        <v>0</v>
      </c>
      <c r="M602" s="14"/>
    </row>
    <row r="603" spans="1:13" ht="91.5" customHeight="1" x14ac:dyDescent="0.3">
      <c r="A603" s="69"/>
      <c r="B603" s="8"/>
      <c r="C603" s="82" t="s">
        <v>537</v>
      </c>
      <c r="D603" s="274" t="s">
        <v>538</v>
      </c>
      <c r="E603" s="27" t="s">
        <v>23</v>
      </c>
      <c r="F603" s="89">
        <f>5.3*3.5</f>
        <v>18.55</v>
      </c>
      <c r="G603" s="29">
        <f>1131000+99000</f>
        <v>1230000</v>
      </c>
      <c r="H603" s="45">
        <v>0.8</v>
      </c>
      <c r="I603" s="102">
        <v>1.1479999999999999</v>
      </c>
      <c r="J603" s="223">
        <f t="shared" si="75"/>
        <v>20955000</v>
      </c>
      <c r="K603" s="32">
        <f t="shared" si="76"/>
        <v>20955000</v>
      </c>
      <c r="L603" s="261">
        <f t="shared" si="72"/>
        <v>0</v>
      </c>
      <c r="M603" s="14"/>
    </row>
    <row r="604" spans="1:13" ht="61.5" customHeight="1" x14ac:dyDescent="0.3">
      <c r="A604" s="69"/>
      <c r="B604" s="8"/>
      <c r="C604" s="82" t="s">
        <v>539</v>
      </c>
      <c r="D604" s="192" t="s">
        <v>58</v>
      </c>
      <c r="E604" s="27" t="s">
        <v>35</v>
      </c>
      <c r="F604" s="76">
        <v>2</v>
      </c>
      <c r="G604" s="29">
        <v>53260</v>
      </c>
      <c r="H604" s="50">
        <v>1</v>
      </c>
      <c r="I604" s="51">
        <v>1</v>
      </c>
      <c r="J604" s="223">
        <f t="shared" si="75"/>
        <v>107000</v>
      </c>
      <c r="K604" s="32">
        <f t="shared" si="76"/>
        <v>107000</v>
      </c>
      <c r="L604" s="261">
        <f t="shared" si="72"/>
        <v>0</v>
      </c>
      <c r="M604" s="14"/>
    </row>
    <row r="605" spans="1:13" ht="61.5" customHeight="1" x14ac:dyDescent="0.3">
      <c r="A605" s="69"/>
      <c r="B605" s="8"/>
      <c r="C605" s="82" t="s">
        <v>540</v>
      </c>
      <c r="D605" s="270" t="s">
        <v>52</v>
      </c>
      <c r="E605" s="27" t="s">
        <v>23</v>
      </c>
      <c r="F605" s="72">
        <f>2*5</f>
        <v>10</v>
      </c>
      <c r="G605" s="11" t="s">
        <v>53</v>
      </c>
      <c r="H605" s="45">
        <v>0.8</v>
      </c>
      <c r="I605" s="79">
        <v>1.1479999999999999</v>
      </c>
      <c r="J605" s="223">
        <f t="shared" si="75"/>
        <v>2167000</v>
      </c>
      <c r="K605" s="32">
        <f t="shared" si="76"/>
        <v>2167000</v>
      </c>
      <c r="L605" s="261">
        <f t="shared" si="72"/>
        <v>0</v>
      </c>
      <c r="M605" s="14"/>
    </row>
    <row r="606" spans="1:13" ht="61.5" customHeight="1" x14ac:dyDescent="0.3">
      <c r="A606" s="69"/>
      <c r="B606" s="8"/>
      <c r="C606" s="82" t="s">
        <v>541</v>
      </c>
      <c r="D606" s="192" t="s">
        <v>876</v>
      </c>
      <c r="E606" s="174" t="s">
        <v>45</v>
      </c>
      <c r="F606" s="76">
        <v>10</v>
      </c>
      <c r="G606" s="29">
        <v>57000</v>
      </c>
      <c r="H606" s="45">
        <v>0.8</v>
      </c>
      <c r="I606" s="159">
        <v>1.1479999999999999</v>
      </c>
      <c r="J606" s="224">
        <f t="shared" si="75"/>
        <v>523000</v>
      </c>
      <c r="K606" s="32">
        <f t="shared" si="76"/>
        <v>523000</v>
      </c>
      <c r="L606" s="261">
        <f t="shared" si="72"/>
        <v>0</v>
      </c>
      <c r="M606" s="14"/>
    </row>
    <row r="607" spans="1:13" ht="61.5" customHeight="1" x14ac:dyDescent="0.3">
      <c r="A607" s="69"/>
      <c r="B607" s="8"/>
      <c r="C607" s="82" t="s">
        <v>111</v>
      </c>
      <c r="D607" s="271" t="s">
        <v>47</v>
      </c>
      <c r="E607" s="63" t="s">
        <v>45</v>
      </c>
      <c r="F607" s="77">
        <v>10</v>
      </c>
      <c r="G607" s="46">
        <v>28000</v>
      </c>
      <c r="H607" s="45">
        <v>0.8</v>
      </c>
      <c r="I607" s="31">
        <v>1.1479999999999999</v>
      </c>
      <c r="J607" s="223">
        <f t="shared" si="75"/>
        <v>257000</v>
      </c>
      <c r="K607" s="32">
        <f t="shared" si="76"/>
        <v>257000</v>
      </c>
      <c r="L607" s="261">
        <f t="shared" si="72"/>
        <v>0</v>
      </c>
      <c r="M607" s="14"/>
    </row>
    <row r="608" spans="1:13" ht="61.5" customHeight="1" x14ac:dyDescent="0.3">
      <c r="A608" s="69"/>
      <c r="B608" s="8"/>
      <c r="C608" s="82" t="s">
        <v>96</v>
      </c>
      <c r="D608" s="270" t="s">
        <v>97</v>
      </c>
      <c r="E608" s="71" t="s">
        <v>98</v>
      </c>
      <c r="F608" s="103">
        <v>1</v>
      </c>
      <c r="G608" s="36">
        <v>226000</v>
      </c>
      <c r="H608" s="45">
        <v>0.8</v>
      </c>
      <c r="I608" s="31">
        <v>1.1479999999999999</v>
      </c>
      <c r="J608" s="223">
        <f t="shared" si="75"/>
        <v>208000</v>
      </c>
      <c r="K608" s="32">
        <f t="shared" si="76"/>
        <v>208000</v>
      </c>
      <c r="L608" s="261">
        <f t="shared" si="72"/>
        <v>0</v>
      </c>
      <c r="M608" s="14"/>
    </row>
    <row r="609" spans="1:13" ht="61.5" customHeight="1" x14ac:dyDescent="0.3">
      <c r="A609" s="149">
        <v>26</v>
      </c>
      <c r="B609" s="150" t="s">
        <v>526</v>
      </c>
      <c r="C609" s="455" t="s">
        <v>1049</v>
      </c>
      <c r="D609" s="456"/>
      <c r="E609" s="456"/>
      <c r="F609" s="456"/>
      <c r="G609" s="456"/>
      <c r="H609" s="456"/>
      <c r="I609" s="457"/>
      <c r="J609" s="221">
        <f>SUM(J610:J613)</f>
        <v>27780000</v>
      </c>
      <c r="K609" s="32">
        <f t="shared" si="76"/>
        <v>0</v>
      </c>
      <c r="L609" s="261">
        <f t="shared" si="72"/>
        <v>27780000</v>
      </c>
      <c r="M609" s="24"/>
    </row>
    <row r="610" spans="1:13" ht="61.5" customHeight="1" x14ac:dyDescent="0.3">
      <c r="A610" s="69"/>
      <c r="B610" s="8"/>
      <c r="C610" s="470" t="s">
        <v>1050</v>
      </c>
      <c r="D610" s="471"/>
      <c r="E610" s="471"/>
      <c r="F610" s="472"/>
      <c r="G610" s="471"/>
      <c r="H610" s="471"/>
      <c r="I610" s="473"/>
      <c r="J610" s="223"/>
      <c r="K610" s="32">
        <f t="shared" si="76"/>
        <v>0</v>
      </c>
      <c r="L610" s="261">
        <f t="shared" si="72"/>
        <v>0</v>
      </c>
      <c r="M610" s="14"/>
    </row>
    <row r="611" spans="1:13" ht="61.5" customHeight="1" x14ac:dyDescent="0.3">
      <c r="A611" s="69"/>
      <c r="B611" s="8"/>
      <c r="C611" s="82" t="s">
        <v>542</v>
      </c>
      <c r="D611" s="270" t="s">
        <v>80</v>
      </c>
      <c r="E611" s="71" t="s">
        <v>23</v>
      </c>
      <c r="F611" s="72">
        <f>8.4*3.4+8.4*2.5</f>
        <v>49.56</v>
      </c>
      <c r="G611" s="29">
        <v>385000</v>
      </c>
      <c r="H611" s="45">
        <v>0.8</v>
      </c>
      <c r="I611" s="31">
        <v>1.1479999999999999</v>
      </c>
      <c r="J611" s="223">
        <f>ROUND(F611*G611*H611*I611,-3)</f>
        <v>17524000</v>
      </c>
      <c r="K611" s="32">
        <f t="shared" si="76"/>
        <v>17524000</v>
      </c>
      <c r="L611" s="261">
        <f t="shared" si="72"/>
        <v>0</v>
      </c>
      <c r="M611" s="14"/>
    </row>
    <row r="612" spans="1:13" ht="61.5" customHeight="1" x14ac:dyDescent="0.3">
      <c r="A612" s="69"/>
      <c r="B612" s="8"/>
      <c r="C612" s="82" t="s">
        <v>543</v>
      </c>
      <c r="D612" s="270" t="s">
        <v>55</v>
      </c>
      <c r="E612" s="27" t="s">
        <v>23</v>
      </c>
      <c r="F612" s="72">
        <f>4.6*2.4</f>
        <v>11.04</v>
      </c>
      <c r="G612" s="29">
        <v>905000</v>
      </c>
      <c r="H612" s="45">
        <v>0.8</v>
      </c>
      <c r="I612" s="79">
        <v>1.1479999999999999</v>
      </c>
      <c r="J612" s="223">
        <f>ROUND(F612*G612*H612*I612,-3)</f>
        <v>9176000</v>
      </c>
      <c r="K612" s="32">
        <f t="shared" si="76"/>
        <v>9176000</v>
      </c>
      <c r="L612" s="261">
        <f t="shared" si="72"/>
        <v>0</v>
      </c>
      <c r="M612" s="14"/>
    </row>
    <row r="613" spans="1:13" ht="61.5" customHeight="1" x14ac:dyDescent="0.3">
      <c r="A613" s="69"/>
      <c r="B613" s="8"/>
      <c r="C613" s="82" t="s">
        <v>544</v>
      </c>
      <c r="D613" s="271" t="s">
        <v>54</v>
      </c>
      <c r="E613" s="27" t="s">
        <v>23</v>
      </c>
      <c r="F613" s="72">
        <f>4.6*1.2</f>
        <v>5.52</v>
      </c>
      <c r="G613" s="46">
        <v>213000</v>
      </c>
      <c r="H613" s="45">
        <v>0.8</v>
      </c>
      <c r="I613" s="57">
        <v>1.1479999999999999</v>
      </c>
      <c r="J613" s="223">
        <f>ROUND(F613*G613*H613*I613,-3)</f>
        <v>1080000</v>
      </c>
      <c r="K613" s="32">
        <f t="shared" si="76"/>
        <v>1080000</v>
      </c>
      <c r="L613" s="261">
        <f t="shared" si="72"/>
        <v>0</v>
      </c>
      <c r="M613" s="158"/>
    </row>
    <row r="614" spans="1:13" ht="61.5" customHeight="1" x14ac:dyDescent="0.25">
      <c r="A614" s="149">
        <v>27</v>
      </c>
      <c r="B614" s="150" t="s">
        <v>545</v>
      </c>
      <c r="C614" s="455" t="s">
        <v>1052</v>
      </c>
      <c r="D614" s="456"/>
      <c r="E614" s="456"/>
      <c r="F614" s="456"/>
      <c r="G614" s="456"/>
      <c r="H614" s="456"/>
      <c r="I614" s="457"/>
      <c r="J614" s="221">
        <f>SUM(J615)</f>
        <v>0</v>
      </c>
      <c r="K614" s="32">
        <f t="shared" si="76"/>
        <v>0</v>
      </c>
      <c r="L614" s="261">
        <f t="shared" si="72"/>
        <v>0</v>
      </c>
      <c r="M614" s="265" t="s">
        <v>1051</v>
      </c>
    </row>
    <row r="615" spans="1:13" ht="90" customHeight="1" x14ac:dyDescent="0.3">
      <c r="A615" s="67"/>
      <c r="B615" s="68"/>
      <c r="C615" s="20" t="s">
        <v>546</v>
      </c>
      <c r="D615" s="267"/>
      <c r="E615" s="27" t="s">
        <v>23</v>
      </c>
      <c r="F615" s="35">
        <v>67.8</v>
      </c>
      <c r="G615" s="464" t="s">
        <v>1110</v>
      </c>
      <c r="H615" s="464"/>
      <c r="I615" s="465"/>
      <c r="J615" s="227"/>
      <c r="K615" s="32"/>
      <c r="L615" s="261">
        <f t="shared" si="72"/>
        <v>0</v>
      </c>
      <c r="M615" s="14"/>
    </row>
    <row r="616" spans="1:13" ht="61.5" customHeight="1" x14ac:dyDescent="0.3">
      <c r="A616" s="149">
        <v>28</v>
      </c>
      <c r="B616" s="150" t="s">
        <v>545</v>
      </c>
      <c r="C616" s="455" t="s">
        <v>1053</v>
      </c>
      <c r="D616" s="456"/>
      <c r="E616" s="456"/>
      <c r="F616" s="456"/>
      <c r="G616" s="456"/>
      <c r="H616" s="456"/>
      <c r="I616" s="457"/>
      <c r="J616" s="221">
        <f>SUM(J617:J630)</f>
        <v>640296000</v>
      </c>
      <c r="K616" s="32">
        <f>ROUND(G616*H616*I616*F616,-3)</f>
        <v>0</v>
      </c>
      <c r="L616" s="261">
        <f t="shared" si="72"/>
        <v>640296000</v>
      </c>
      <c r="M616" s="24"/>
    </row>
    <row r="617" spans="1:13" ht="61.5" customHeight="1" x14ac:dyDescent="0.3">
      <c r="A617" s="69"/>
      <c r="B617" s="8"/>
      <c r="C617" s="470" t="s">
        <v>1054</v>
      </c>
      <c r="D617" s="471"/>
      <c r="E617" s="471"/>
      <c r="F617" s="472"/>
      <c r="G617" s="471"/>
      <c r="H617" s="471"/>
      <c r="I617" s="473"/>
      <c r="J617" s="223"/>
      <c r="K617" s="32">
        <f>ROUND(G617*H617*I617*F617,-3)</f>
        <v>0</v>
      </c>
      <c r="L617" s="261">
        <f t="shared" si="72"/>
        <v>0</v>
      </c>
      <c r="M617" s="14"/>
    </row>
    <row r="618" spans="1:13" ht="105" customHeight="1" x14ac:dyDescent="0.3">
      <c r="A618" s="93"/>
      <c r="B618" s="94"/>
      <c r="C618" s="161" t="s">
        <v>547</v>
      </c>
      <c r="D618" s="281" t="s">
        <v>1116</v>
      </c>
      <c r="E618" s="162" t="s">
        <v>548</v>
      </c>
      <c r="F618" s="181">
        <f>10.45*11.5+10.4*10.85</f>
        <v>233.01499999999999</v>
      </c>
      <c r="G618" s="163">
        <v>4735000</v>
      </c>
      <c r="H618" s="45">
        <v>0.3</v>
      </c>
      <c r="I618" s="164">
        <v>1.1479999999999999</v>
      </c>
      <c r="J618" s="230">
        <f t="shared" ref="J618:J630" si="77">ROUND(F618*G618*H618*I618,-3)</f>
        <v>379985000</v>
      </c>
      <c r="K618" s="32">
        <f t="shared" ref="K618:K631" si="78">ROUND(G618*H618*I618*F618,-3)</f>
        <v>379985000</v>
      </c>
      <c r="L618" s="261">
        <f t="shared" si="72"/>
        <v>0</v>
      </c>
      <c r="M618" s="264" t="s">
        <v>549</v>
      </c>
    </row>
    <row r="619" spans="1:13" ht="61.5" customHeight="1" x14ac:dyDescent="0.3">
      <c r="A619" s="69"/>
      <c r="B619" s="8"/>
      <c r="C619" s="82" t="s">
        <v>550</v>
      </c>
      <c r="D619" s="270" t="s">
        <v>80</v>
      </c>
      <c r="E619" s="71" t="s">
        <v>23</v>
      </c>
      <c r="F619" s="72">
        <f>10.65*10.3+5*11.7</f>
        <v>168.19499999999999</v>
      </c>
      <c r="G619" s="29">
        <v>385000</v>
      </c>
      <c r="H619" s="45">
        <v>0.8</v>
      </c>
      <c r="I619" s="31">
        <v>1.1479999999999999</v>
      </c>
      <c r="J619" s="223">
        <f t="shared" si="77"/>
        <v>59471000</v>
      </c>
      <c r="K619" s="32">
        <f t="shared" si="78"/>
        <v>59471000</v>
      </c>
      <c r="L619" s="261">
        <f t="shared" si="72"/>
        <v>0</v>
      </c>
      <c r="M619" s="14"/>
    </row>
    <row r="620" spans="1:13" ht="84" customHeight="1" x14ac:dyDescent="0.3">
      <c r="A620" s="69"/>
      <c r="B620" s="8"/>
      <c r="C620" s="82" t="s">
        <v>551</v>
      </c>
      <c r="D620" s="270" t="s">
        <v>28</v>
      </c>
      <c r="E620" s="71" t="s">
        <v>23</v>
      </c>
      <c r="F620" s="72">
        <f>4*0.9+12.6*0.2+3.4*0.6+7*0.6+4.4*1.2</f>
        <v>17.64</v>
      </c>
      <c r="G620" s="11">
        <v>396000</v>
      </c>
      <c r="H620" s="45">
        <v>0.8</v>
      </c>
      <c r="I620" s="31">
        <v>1.1479999999999999</v>
      </c>
      <c r="J620" s="223">
        <f t="shared" si="77"/>
        <v>6415000</v>
      </c>
      <c r="K620" s="32">
        <f t="shared" si="78"/>
        <v>6415000</v>
      </c>
      <c r="L620" s="261">
        <f t="shared" si="72"/>
        <v>0</v>
      </c>
      <c r="M620" s="14"/>
    </row>
    <row r="621" spans="1:13" ht="61.5" customHeight="1" x14ac:dyDescent="0.3">
      <c r="A621" s="93"/>
      <c r="B621" s="94"/>
      <c r="C621" s="70" t="s">
        <v>552</v>
      </c>
      <c r="D621" s="282" t="s">
        <v>101</v>
      </c>
      <c r="E621" s="165" t="s">
        <v>23</v>
      </c>
      <c r="F621" s="95">
        <f>5*11.7</f>
        <v>58.5</v>
      </c>
      <c r="G621" s="100">
        <v>339000</v>
      </c>
      <c r="H621" s="45">
        <v>0.8</v>
      </c>
      <c r="I621" s="102">
        <v>1.1479999999999999</v>
      </c>
      <c r="J621" s="222">
        <f t="shared" si="77"/>
        <v>18213000</v>
      </c>
      <c r="K621" s="32">
        <f t="shared" si="78"/>
        <v>18213000</v>
      </c>
      <c r="L621" s="261">
        <f t="shared" si="72"/>
        <v>0</v>
      </c>
      <c r="M621" s="24"/>
    </row>
    <row r="622" spans="1:13" ht="61.5" customHeight="1" x14ac:dyDescent="0.3">
      <c r="A622" s="69"/>
      <c r="B622" s="8"/>
      <c r="C622" s="82" t="s">
        <v>553</v>
      </c>
      <c r="D622" s="271" t="s">
        <v>32</v>
      </c>
      <c r="E622" s="27" t="s">
        <v>23</v>
      </c>
      <c r="F622" s="72">
        <f>5.1*12.3</f>
        <v>62.73</v>
      </c>
      <c r="G622" s="29">
        <v>215000</v>
      </c>
      <c r="H622" s="45">
        <v>0.8</v>
      </c>
      <c r="I622" s="31">
        <v>1.1479999999999999</v>
      </c>
      <c r="J622" s="223">
        <f t="shared" si="77"/>
        <v>12386000</v>
      </c>
      <c r="K622" s="32">
        <f t="shared" si="78"/>
        <v>12386000</v>
      </c>
      <c r="L622" s="261">
        <f t="shared" si="72"/>
        <v>0</v>
      </c>
      <c r="M622" s="14"/>
    </row>
    <row r="623" spans="1:13" ht="61.5" customHeight="1" x14ac:dyDescent="0.3">
      <c r="A623" s="69"/>
      <c r="B623" s="8"/>
      <c r="C623" s="82" t="s">
        <v>554</v>
      </c>
      <c r="D623" s="271" t="s">
        <v>54</v>
      </c>
      <c r="E623" s="27" t="s">
        <v>23</v>
      </c>
      <c r="F623" s="72">
        <f>10.65*10.3</f>
        <v>109.69500000000001</v>
      </c>
      <c r="G623" s="46">
        <v>213000</v>
      </c>
      <c r="H623" s="45">
        <v>0.8</v>
      </c>
      <c r="I623" s="31">
        <v>1.1479999999999999</v>
      </c>
      <c r="J623" s="223">
        <f t="shared" si="77"/>
        <v>21458000</v>
      </c>
      <c r="K623" s="32">
        <f t="shared" si="78"/>
        <v>21458000</v>
      </c>
      <c r="L623" s="261">
        <f t="shared" si="72"/>
        <v>0</v>
      </c>
      <c r="M623" s="14"/>
    </row>
    <row r="624" spans="1:13" ht="61.5" customHeight="1" x14ac:dyDescent="0.3">
      <c r="A624" s="69"/>
      <c r="B624" s="8"/>
      <c r="C624" s="82" t="s">
        <v>555</v>
      </c>
      <c r="D624" s="270" t="s">
        <v>55</v>
      </c>
      <c r="E624" s="27" t="s">
        <v>23</v>
      </c>
      <c r="F624" s="72">
        <f>4*0.8+10.85*2+7.5*0.6</f>
        <v>29.4</v>
      </c>
      <c r="G624" s="29">
        <v>905000</v>
      </c>
      <c r="H624" s="45">
        <v>0.8</v>
      </c>
      <c r="I624" s="79">
        <v>1.1479999999999999</v>
      </c>
      <c r="J624" s="223">
        <f t="shared" si="77"/>
        <v>24436000</v>
      </c>
      <c r="K624" s="32">
        <f t="shared" si="78"/>
        <v>24436000</v>
      </c>
      <c r="L624" s="261">
        <f t="shared" si="72"/>
        <v>0</v>
      </c>
      <c r="M624" s="14"/>
    </row>
    <row r="625" spans="1:13" ht="61.5" customHeight="1" x14ac:dyDescent="0.3">
      <c r="A625" s="69"/>
      <c r="B625" s="8"/>
      <c r="C625" s="82" t="s">
        <v>556</v>
      </c>
      <c r="D625" s="270" t="s">
        <v>442</v>
      </c>
      <c r="E625" s="27" t="s">
        <v>23</v>
      </c>
      <c r="F625" s="72">
        <f>4.6*2.8</f>
        <v>12.879999999999999</v>
      </c>
      <c r="G625" s="29">
        <v>527000</v>
      </c>
      <c r="H625" s="45">
        <v>0.8</v>
      </c>
      <c r="I625" s="31">
        <v>1.1479999999999999</v>
      </c>
      <c r="J625" s="223">
        <f t="shared" si="77"/>
        <v>6234000</v>
      </c>
      <c r="K625" s="32">
        <f t="shared" si="78"/>
        <v>6234000</v>
      </c>
      <c r="L625" s="261">
        <f t="shared" si="72"/>
        <v>0</v>
      </c>
      <c r="M625" s="14"/>
    </row>
    <row r="626" spans="1:13" ht="61.5" customHeight="1" x14ac:dyDescent="0.3">
      <c r="A626" s="69"/>
      <c r="B626" s="8"/>
      <c r="C626" s="82" t="s">
        <v>557</v>
      </c>
      <c r="D626" s="270" t="s">
        <v>442</v>
      </c>
      <c r="E626" s="27" t="s">
        <v>23</v>
      </c>
      <c r="F626" s="72">
        <f>12.35*3.5+12.75*3.5+13.2*3.5+5.9*1.4+5*2.8+3.7*1.4</f>
        <v>161.48999999999998</v>
      </c>
      <c r="G626" s="29">
        <v>527000</v>
      </c>
      <c r="H626" s="45">
        <v>0.8</v>
      </c>
      <c r="I626" s="31">
        <v>1.1479999999999999</v>
      </c>
      <c r="J626" s="223">
        <f t="shared" si="77"/>
        <v>78161000</v>
      </c>
      <c r="K626" s="32">
        <f t="shared" si="78"/>
        <v>78161000</v>
      </c>
      <c r="L626" s="261">
        <f t="shared" si="72"/>
        <v>0</v>
      </c>
      <c r="M626" s="14"/>
    </row>
    <row r="627" spans="1:13" ht="45.75" customHeight="1" x14ac:dyDescent="0.3">
      <c r="A627" s="69"/>
      <c r="B627" s="8"/>
      <c r="C627" s="82" t="s">
        <v>558</v>
      </c>
      <c r="D627" s="271" t="s">
        <v>54</v>
      </c>
      <c r="E627" s="27" t="s">
        <v>23</v>
      </c>
      <c r="F627" s="72">
        <f>5.2*1</f>
        <v>5.2</v>
      </c>
      <c r="G627" s="46">
        <v>213000</v>
      </c>
      <c r="H627" s="45">
        <v>0.8</v>
      </c>
      <c r="I627" s="57">
        <v>1.1479999999999999</v>
      </c>
      <c r="J627" s="223">
        <f t="shared" si="77"/>
        <v>1017000</v>
      </c>
      <c r="K627" s="32">
        <f t="shared" si="78"/>
        <v>1017000</v>
      </c>
      <c r="L627" s="261">
        <f t="shared" si="72"/>
        <v>0</v>
      </c>
      <c r="M627" s="14"/>
    </row>
    <row r="628" spans="1:13" ht="63.75" customHeight="1" x14ac:dyDescent="0.3">
      <c r="A628" s="69"/>
      <c r="B628" s="8"/>
      <c r="C628" s="82" t="s">
        <v>559</v>
      </c>
      <c r="D628" s="270" t="s">
        <v>52</v>
      </c>
      <c r="E628" s="27" t="s">
        <v>23</v>
      </c>
      <c r="F628" s="72">
        <f>10.4*2+7.5*3.1+7.5*3+5.1*0.6</f>
        <v>69.61</v>
      </c>
      <c r="G628" s="11" t="s">
        <v>53</v>
      </c>
      <c r="H628" s="45">
        <v>0.8</v>
      </c>
      <c r="I628" s="79">
        <v>1.1479999999999999</v>
      </c>
      <c r="J628" s="223">
        <f t="shared" si="77"/>
        <v>15087000</v>
      </c>
      <c r="K628" s="32">
        <f t="shared" si="78"/>
        <v>15087000</v>
      </c>
      <c r="L628" s="261">
        <f t="shared" si="72"/>
        <v>0</v>
      </c>
      <c r="M628" s="14"/>
    </row>
    <row r="629" spans="1:13" ht="75" customHeight="1" x14ac:dyDescent="0.3">
      <c r="A629" s="69"/>
      <c r="B629" s="8"/>
      <c r="C629" s="82" t="s">
        <v>560</v>
      </c>
      <c r="D629" s="271" t="s">
        <v>32</v>
      </c>
      <c r="E629" s="27" t="s">
        <v>23</v>
      </c>
      <c r="F629" s="72">
        <f>6.2*12.5</f>
        <v>77.5</v>
      </c>
      <c r="G629" s="29">
        <v>215000</v>
      </c>
      <c r="H629" s="45">
        <v>0.8</v>
      </c>
      <c r="I629" s="31">
        <v>1.1479999999999999</v>
      </c>
      <c r="J629" s="223">
        <f t="shared" si="77"/>
        <v>15303000</v>
      </c>
      <c r="K629" s="32">
        <f t="shared" si="78"/>
        <v>15303000</v>
      </c>
      <c r="L629" s="261">
        <f t="shared" si="72"/>
        <v>0</v>
      </c>
      <c r="M629" s="14"/>
    </row>
    <row r="630" spans="1:13" ht="61.5" customHeight="1" x14ac:dyDescent="0.3">
      <c r="A630" s="69"/>
      <c r="B630" s="8"/>
      <c r="C630" s="82" t="s">
        <v>561</v>
      </c>
      <c r="D630" s="192" t="s">
        <v>58</v>
      </c>
      <c r="E630" s="27" t="s">
        <v>35</v>
      </c>
      <c r="F630" s="98">
        <v>2</v>
      </c>
      <c r="G630" s="29">
        <v>1065100</v>
      </c>
      <c r="H630" s="50">
        <v>1</v>
      </c>
      <c r="I630" s="51">
        <v>1</v>
      </c>
      <c r="J630" s="223">
        <f t="shared" si="77"/>
        <v>2130000</v>
      </c>
      <c r="K630" s="32">
        <f t="shared" si="78"/>
        <v>2130000</v>
      </c>
      <c r="L630" s="261">
        <f t="shared" si="72"/>
        <v>0</v>
      </c>
      <c r="M630" s="14"/>
    </row>
    <row r="631" spans="1:13" s="289" customFormat="1" ht="61.5" customHeight="1" x14ac:dyDescent="0.3">
      <c r="A631" s="149">
        <v>40</v>
      </c>
      <c r="B631" s="150" t="s">
        <v>1356</v>
      </c>
      <c r="C631" s="461" t="s">
        <v>1357</v>
      </c>
      <c r="D631" s="462"/>
      <c r="E631" s="462"/>
      <c r="F631" s="462"/>
      <c r="G631" s="462"/>
      <c r="H631" s="462"/>
      <c r="I631" s="463"/>
      <c r="J631" s="228">
        <f>SUM(J632:J641)</f>
        <v>515829000</v>
      </c>
      <c r="K631" s="32">
        <f t="shared" si="78"/>
        <v>0</v>
      </c>
      <c r="L631" s="2"/>
      <c r="M631" s="24"/>
    </row>
    <row r="632" spans="1:13" s="289" customFormat="1" ht="103.5" customHeight="1" x14ac:dyDescent="0.3">
      <c r="A632" s="67"/>
      <c r="B632" s="68"/>
      <c r="C632" s="25" t="s">
        <v>1384</v>
      </c>
      <c r="D632" s="267" t="s">
        <v>112</v>
      </c>
      <c r="E632" s="27" t="s">
        <v>23</v>
      </c>
      <c r="F632" s="35">
        <v>32.299999999999997</v>
      </c>
      <c r="G632" s="49">
        <v>11100000</v>
      </c>
      <c r="H632" s="286">
        <v>1</v>
      </c>
      <c r="I632" s="268">
        <v>1.4</v>
      </c>
      <c r="J632" s="32">
        <f>ROUND(F632*G632*H632*I632,-3)</f>
        <v>501942000</v>
      </c>
      <c r="K632" s="32"/>
      <c r="L632" s="2"/>
      <c r="M632" s="251">
        <v>48.9</v>
      </c>
    </row>
    <row r="633" spans="1:13" s="289" customFormat="1" ht="75" customHeight="1" x14ac:dyDescent="0.3">
      <c r="A633" s="67"/>
      <c r="B633" s="68"/>
      <c r="C633" s="20" t="s">
        <v>546</v>
      </c>
      <c r="D633" s="267"/>
      <c r="E633" s="27" t="s">
        <v>23</v>
      </c>
      <c r="F633" s="35">
        <v>16.600000000000001</v>
      </c>
      <c r="G633" s="464" t="s">
        <v>1385</v>
      </c>
      <c r="H633" s="464"/>
      <c r="I633" s="465"/>
      <c r="J633" s="227"/>
      <c r="K633" s="32"/>
      <c r="L633" s="2"/>
      <c r="M633" s="251"/>
    </row>
    <row r="634" spans="1:13" s="289" customFormat="1" ht="61.5" customHeight="1" x14ac:dyDescent="0.3">
      <c r="A634" s="69"/>
      <c r="B634" s="8"/>
      <c r="C634" s="82" t="s">
        <v>37</v>
      </c>
      <c r="D634" s="278" t="s">
        <v>38</v>
      </c>
      <c r="E634" s="141" t="s">
        <v>39</v>
      </c>
      <c r="F634" s="98">
        <v>1</v>
      </c>
      <c r="G634" s="145">
        <v>1018000</v>
      </c>
      <c r="H634" s="45">
        <v>1</v>
      </c>
      <c r="I634" s="146">
        <v>1.1479999999999999</v>
      </c>
      <c r="J634" s="226">
        <f t="shared" ref="J634:J641" si="79">ROUND(F634*G634*H634*I634,-3)</f>
        <v>1169000</v>
      </c>
      <c r="K634" s="32">
        <f t="shared" ref="K634:K642" si="80">ROUND(G634*H634*I634*F634,-3)</f>
        <v>1169000</v>
      </c>
      <c r="L634" s="2"/>
      <c r="M634" s="14"/>
    </row>
    <row r="635" spans="1:13" s="289" customFormat="1" ht="61.5" customHeight="1" x14ac:dyDescent="0.3">
      <c r="A635" s="69"/>
      <c r="B635" s="8"/>
      <c r="C635" s="82" t="s">
        <v>1358</v>
      </c>
      <c r="D635" s="270" t="s">
        <v>52</v>
      </c>
      <c r="E635" s="71" t="s">
        <v>23</v>
      </c>
      <c r="F635" s="72">
        <f>9.3*3.8</f>
        <v>35.340000000000003</v>
      </c>
      <c r="G635" s="11" t="s">
        <v>53</v>
      </c>
      <c r="H635" s="45">
        <v>1</v>
      </c>
      <c r="I635" s="31">
        <v>1.1479999999999999</v>
      </c>
      <c r="J635" s="223">
        <f t="shared" si="79"/>
        <v>9575000</v>
      </c>
      <c r="K635" s="32">
        <f t="shared" si="80"/>
        <v>9575000</v>
      </c>
      <c r="L635" s="2"/>
      <c r="M635" s="14"/>
    </row>
    <row r="636" spans="1:13" s="289" customFormat="1" ht="61.5" customHeight="1" x14ac:dyDescent="0.3">
      <c r="A636" s="69"/>
      <c r="B636" s="8"/>
      <c r="C636" s="82" t="s">
        <v>1359</v>
      </c>
      <c r="D636" s="267" t="s">
        <v>24</v>
      </c>
      <c r="E636" s="8" t="s">
        <v>25</v>
      </c>
      <c r="F636" s="195">
        <f>1.5*2.2*0.2</f>
        <v>0.66000000000000014</v>
      </c>
      <c r="G636" s="29">
        <v>2828000</v>
      </c>
      <c r="H636" s="45">
        <v>1</v>
      </c>
      <c r="I636" s="31">
        <v>1.1479999999999999</v>
      </c>
      <c r="J636" s="223">
        <f t="shared" si="79"/>
        <v>2143000</v>
      </c>
      <c r="K636" s="32">
        <f t="shared" si="80"/>
        <v>2143000</v>
      </c>
      <c r="L636" s="2"/>
      <c r="M636" s="14"/>
    </row>
    <row r="637" spans="1:13" s="289" customFormat="1" ht="61.5" customHeight="1" x14ac:dyDescent="0.3">
      <c r="A637" s="69"/>
      <c r="B637" s="8"/>
      <c r="C637" s="82" t="s">
        <v>111</v>
      </c>
      <c r="D637" s="271" t="s">
        <v>47</v>
      </c>
      <c r="E637" s="63" t="s">
        <v>45</v>
      </c>
      <c r="F637" s="77">
        <v>10</v>
      </c>
      <c r="G637" s="46">
        <v>28000</v>
      </c>
      <c r="H637" s="45">
        <v>1</v>
      </c>
      <c r="I637" s="31">
        <v>1.1479999999999999</v>
      </c>
      <c r="J637" s="223">
        <f t="shared" si="79"/>
        <v>321000</v>
      </c>
      <c r="K637" s="32">
        <f t="shared" si="80"/>
        <v>321000</v>
      </c>
      <c r="L637" s="2"/>
      <c r="M637" s="14"/>
    </row>
    <row r="638" spans="1:13" s="289" customFormat="1" ht="61.5" customHeight="1" x14ac:dyDescent="0.3">
      <c r="A638" s="69"/>
      <c r="B638" s="8"/>
      <c r="C638" s="82" t="s">
        <v>1360</v>
      </c>
      <c r="D638" s="273" t="s">
        <v>44</v>
      </c>
      <c r="E638" s="63" t="s">
        <v>45</v>
      </c>
      <c r="F638" s="72">
        <v>10</v>
      </c>
      <c r="G638" s="46">
        <v>28000</v>
      </c>
      <c r="H638" s="45">
        <v>1</v>
      </c>
      <c r="I638" s="31">
        <v>1.1479999999999999</v>
      </c>
      <c r="J638" s="223">
        <f t="shared" si="79"/>
        <v>321000</v>
      </c>
      <c r="K638" s="32">
        <f t="shared" si="80"/>
        <v>321000</v>
      </c>
      <c r="L638" s="2"/>
      <c r="M638" s="14"/>
    </row>
    <row r="639" spans="1:13" s="289" customFormat="1" ht="61.5" customHeight="1" x14ac:dyDescent="0.3">
      <c r="A639" s="69"/>
      <c r="B639" s="8"/>
      <c r="C639" s="82" t="s">
        <v>1361</v>
      </c>
      <c r="D639" s="277" t="s">
        <v>878</v>
      </c>
      <c r="E639" s="27" t="s">
        <v>35</v>
      </c>
      <c r="F639" s="76">
        <v>1</v>
      </c>
      <c r="G639" s="29">
        <v>40910</v>
      </c>
      <c r="H639" s="50">
        <v>1</v>
      </c>
      <c r="I639" s="51">
        <v>1</v>
      </c>
      <c r="J639" s="224">
        <f t="shared" si="79"/>
        <v>41000</v>
      </c>
      <c r="K639" s="32">
        <f t="shared" si="80"/>
        <v>41000</v>
      </c>
      <c r="L639" s="2"/>
      <c r="M639" s="14"/>
    </row>
    <row r="640" spans="1:13" s="289" customFormat="1" ht="61.5" customHeight="1" x14ac:dyDescent="0.3">
      <c r="A640" s="69"/>
      <c r="B640" s="8"/>
      <c r="C640" s="82" t="s">
        <v>1362</v>
      </c>
      <c r="D640" s="283" t="s">
        <v>105</v>
      </c>
      <c r="E640" s="27" t="s">
        <v>35</v>
      </c>
      <c r="F640" s="98">
        <v>1</v>
      </c>
      <c r="G640" s="115">
        <v>300360</v>
      </c>
      <c r="H640" s="50">
        <v>1</v>
      </c>
      <c r="I640" s="51">
        <v>1</v>
      </c>
      <c r="J640" s="223">
        <f t="shared" si="79"/>
        <v>300000</v>
      </c>
      <c r="K640" s="32">
        <f t="shared" si="80"/>
        <v>300000</v>
      </c>
      <c r="L640" s="2"/>
      <c r="M640" s="14"/>
    </row>
    <row r="641" spans="1:13" s="289" customFormat="1" ht="61.5" customHeight="1" x14ac:dyDescent="0.3">
      <c r="A641" s="69"/>
      <c r="B641" s="8"/>
      <c r="C641" s="82" t="s">
        <v>141</v>
      </c>
      <c r="D641" s="280" t="s">
        <v>92</v>
      </c>
      <c r="E641" s="27" t="s">
        <v>35</v>
      </c>
      <c r="F641" s="98">
        <v>1</v>
      </c>
      <c r="G641" s="11">
        <v>16590</v>
      </c>
      <c r="H641" s="50">
        <v>1</v>
      </c>
      <c r="I641" s="51">
        <v>1</v>
      </c>
      <c r="J641" s="223">
        <f t="shared" si="79"/>
        <v>17000</v>
      </c>
      <c r="K641" s="32">
        <f t="shared" si="80"/>
        <v>17000</v>
      </c>
      <c r="L641" s="2"/>
      <c r="M641" s="14"/>
    </row>
    <row r="642" spans="1:13" s="289" customFormat="1" ht="61.5" customHeight="1" x14ac:dyDescent="0.3">
      <c r="A642" s="149">
        <v>41</v>
      </c>
      <c r="B642" s="150" t="s">
        <v>1363</v>
      </c>
      <c r="C642" s="455" t="s">
        <v>1364</v>
      </c>
      <c r="D642" s="456"/>
      <c r="E642" s="456"/>
      <c r="F642" s="456"/>
      <c r="G642" s="456"/>
      <c r="H642" s="456"/>
      <c r="I642" s="457"/>
      <c r="J642" s="221">
        <f>SUM(J643:J656)</f>
        <v>1204831000</v>
      </c>
      <c r="K642" s="32">
        <f t="shared" si="80"/>
        <v>0</v>
      </c>
      <c r="L642" s="2"/>
      <c r="M642" s="24"/>
    </row>
    <row r="643" spans="1:13" s="289" customFormat="1" ht="103.5" customHeight="1" x14ac:dyDescent="0.3">
      <c r="A643" s="67"/>
      <c r="B643" s="68"/>
      <c r="C643" s="25" t="s">
        <v>1384</v>
      </c>
      <c r="D643" s="267" t="s">
        <v>112</v>
      </c>
      <c r="E643" s="27" t="s">
        <v>23</v>
      </c>
      <c r="F643" s="35">
        <f>81.9-13.5</f>
        <v>68.400000000000006</v>
      </c>
      <c r="G643" s="49">
        <v>11100000</v>
      </c>
      <c r="H643" s="286">
        <v>1</v>
      </c>
      <c r="I643" s="268">
        <v>1.4</v>
      </c>
      <c r="J643" s="32">
        <f>ROUND(F643*G643*H643*I643,-3)</f>
        <v>1062936000</v>
      </c>
      <c r="K643" s="32"/>
      <c r="L643" s="2"/>
      <c r="M643" s="251">
        <v>48.9</v>
      </c>
    </row>
    <row r="644" spans="1:13" s="289" customFormat="1" ht="75" customHeight="1" x14ac:dyDescent="0.3">
      <c r="A644" s="67"/>
      <c r="B644" s="68"/>
      <c r="C644" s="20" t="s">
        <v>546</v>
      </c>
      <c r="D644" s="267"/>
      <c r="E644" s="27" t="s">
        <v>23</v>
      </c>
      <c r="F644" s="35">
        <v>13.5</v>
      </c>
      <c r="G644" s="464" t="s">
        <v>1110</v>
      </c>
      <c r="H644" s="464"/>
      <c r="I644" s="465"/>
      <c r="J644" s="227"/>
      <c r="K644" s="32"/>
      <c r="L644" s="2"/>
      <c r="M644" s="251"/>
    </row>
    <row r="645" spans="1:13" s="289" customFormat="1" ht="72" customHeight="1" x14ac:dyDescent="0.3">
      <c r="A645" s="69"/>
      <c r="B645" s="8"/>
      <c r="C645" s="82" t="s">
        <v>1365</v>
      </c>
      <c r="D645" s="274" t="s">
        <v>473</v>
      </c>
      <c r="E645" s="27" t="s">
        <v>23</v>
      </c>
      <c r="F645" s="75">
        <f>6.1*4.75</f>
        <v>28.974999999999998</v>
      </c>
      <c r="G645" s="29">
        <v>2749000</v>
      </c>
      <c r="H645" s="45">
        <v>1</v>
      </c>
      <c r="I645" s="102">
        <v>1.1479999999999999</v>
      </c>
      <c r="J645" s="229">
        <f t="shared" ref="J645:J656" si="81">ROUND(F645*G645*H645*I645,-3)</f>
        <v>91441000</v>
      </c>
      <c r="K645" s="32">
        <f t="shared" ref="K645:K664" si="82">ROUND(G645*H645*I645*F645,-3)</f>
        <v>91441000</v>
      </c>
      <c r="L645" s="2"/>
      <c r="M645" s="14"/>
    </row>
    <row r="646" spans="1:13" s="289" customFormat="1" ht="61.5" customHeight="1" x14ac:dyDescent="0.3">
      <c r="A646" s="69"/>
      <c r="B646" s="8"/>
      <c r="C646" s="82" t="s">
        <v>1366</v>
      </c>
      <c r="D646" s="270" t="s">
        <v>80</v>
      </c>
      <c r="E646" s="71" t="s">
        <v>23</v>
      </c>
      <c r="F646" s="72">
        <f>8*4.55</f>
        <v>36.4</v>
      </c>
      <c r="G646" s="29">
        <v>385000</v>
      </c>
      <c r="H646" s="45">
        <v>1</v>
      </c>
      <c r="I646" s="31">
        <v>1.1479999999999999</v>
      </c>
      <c r="J646" s="223">
        <f t="shared" si="81"/>
        <v>16088000</v>
      </c>
      <c r="K646" s="32">
        <f t="shared" si="82"/>
        <v>16088000</v>
      </c>
      <c r="L646" s="2"/>
      <c r="M646" s="14"/>
    </row>
    <row r="647" spans="1:13" s="289" customFormat="1" ht="61.5" customHeight="1" x14ac:dyDescent="0.3">
      <c r="A647" s="69"/>
      <c r="B647" s="8"/>
      <c r="C647" s="82" t="s">
        <v>1367</v>
      </c>
      <c r="D647" s="270" t="s">
        <v>562</v>
      </c>
      <c r="E647" s="27" t="s">
        <v>23</v>
      </c>
      <c r="F647" s="72">
        <f>2.2*4.75+8.3*1.5</f>
        <v>22.900000000000002</v>
      </c>
      <c r="G647" s="29">
        <v>577000</v>
      </c>
      <c r="H647" s="45">
        <v>1</v>
      </c>
      <c r="I647" s="31">
        <v>1.1479999999999999</v>
      </c>
      <c r="J647" s="223">
        <f t="shared" si="81"/>
        <v>15169000</v>
      </c>
      <c r="K647" s="32">
        <f t="shared" si="82"/>
        <v>15169000</v>
      </c>
      <c r="L647" s="2"/>
      <c r="M647" s="14"/>
    </row>
    <row r="648" spans="1:13" s="289" customFormat="1" ht="61.5" customHeight="1" x14ac:dyDescent="0.3">
      <c r="A648" s="69"/>
      <c r="B648" s="8"/>
      <c r="C648" s="82" t="s">
        <v>1368</v>
      </c>
      <c r="D648" s="271" t="s">
        <v>54</v>
      </c>
      <c r="E648" s="27" t="s">
        <v>23</v>
      </c>
      <c r="F648" s="72">
        <f>1.2*6.25</f>
        <v>7.5</v>
      </c>
      <c r="G648" s="46">
        <v>213000</v>
      </c>
      <c r="H648" s="45">
        <v>1</v>
      </c>
      <c r="I648" s="57">
        <v>1.1479999999999999</v>
      </c>
      <c r="J648" s="223">
        <f t="shared" si="81"/>
        <v>1834000</v>
      </c>
      <c r="K648" s="32">
        <f t="shared" si="82"/>
        <v>1834000</v>
      </c>
      <c r="L648" s="2"/>
      <c r="M648" s="14"/>
    </row>
    <row r="649" spans="1:13" s="289" customFormat="1" ht="61.5" customHeight="1" x14ac:dyDescent="0.3">
      <c r="A649" s="69"/>
      <c r="B649" s="8"/>
      <c r="C649" s="82" t="s">
        <v>1369</v>
      </c>
      <c r="D649" s="270" t="s">
        <v>52</v>
      </c>
      <c r="E649" s="27" t="s">
        <v>23</v>
      </c>
      <c r="F649" s="72">
        <f>6.25*1.5</f>
        <v>9.375</v>
      </c>
      <c r="G649" s="11" t="s">
        <v>53</v>
      </c>
      <c r="H649" s="45">
        <v>1</v>
      </c>
      <c r="I649" s="79">
        <v>1.1479999999999999</v>
      </c>
      <c r="J649" s="223">
        <f t="shared" si="81"/>
        <v>2540000</v>
      </c>
      <c r="K649" s="32">
        <f t="shared" si="82"/>
        <v>2540000</v>
      </c>
      <c r="L649" s="2"/>
      <c r="M649" s="14"/>
    </row>
    <row r="650" spans="1:13" s="289" customFormat="1" ht="61.5" customHeight="1" x14ac:dyDescent="0.3">
      <c r="A650" s="69"/>
      <c r="B650" s="8"/>
      <c r="C650" s="82" t="s">
        <v>1370</v>
      </c>
      <c r="D650" s="271" t="s">
        <v>32</v>
      </c>
      <c r="E650" s="27" t="s">
        <v>23</v>
      </c>
      <c r="F650" s="72">
        <f>8.6*1.5</f>
        <v>12.899999999999999</v>
      </c>
      <c r="G650" s="29">
        <v>215000</v>
      </c>
      <c r="H650" s="45">
        <v>0.8</v>
      </c>
      <c r="I650" s="31">
        <v>1.1479999999999999</v>
      </c>
      <c r="J650" s="223">
        <f t="shared" si="81"/>
        <v>2547000</v>
      </c>
      <c r="K650" s="32">
        <f t="shared" si="82"/>
        <v>2547000</v>
      </c>
      <c r="L650" s="2"/>
      <c r="M650" s="14"/>
    </row>
    <row r="651" spans="1:13" s="289" customFormat="1" ht="61.5" customHeight="1" x14ac:dyDescent="0.3">
      <c r="A651" s="69"/>
      <c r="B651" s="8"/>
      <c r="C651" s="82" t="s">
        <v>1371</v>
      </c>
      <c r="D651" s="267" t="s">
        <v>26</v>
      </c>
      <c r="E651" s="27" t="s">
        <v>23</v>
      </c>
      <c r="F651" s="89">
        <f>1.5*1.7</f>
        <v>2.5499999999999998</v>
      </c>
      <c r="G651" s="29">
        <v>679000</v>
      </c>
      <c r="H651" s="45">
        <v>1</v>
      </c>
      <c r="I651" s="31">
        <v>1.1479999999999999</v>
      </c>
      <c r="J651" s="223">
        <f t="shared" si="81"/>
        <v>1988000</v>
      </c>
      <c r="K651" s="32">
        <f t="shared" si="82"/>
        <v>1988000</v>
      </c>
      <c r="L651" s="2"/>
      <c r="M651" s="14"/>
    </row>
    <row r="652" spans="1:13" s="289" customFormat="1" ht="61.5" customHeight="1" x14ac:dyDescent="0.3">
      <c r="A652" s="69"/>
      <c r="B652" s="8"/>
      <c r="C652" s="82" t="s">
        <v>1372</v>
      </c>
      <c r="D652" s="267" t="s">
        <v>24</v>
      </c>
      <c r="E652" s="27" t="s">
        <v>25</v>
      </c>
      <c r="F652" s="72">
        <f>0.22*0.22*1.9</f>
        <v>9.1959999999999986E-2</v>
      </c>
      <c r="G652" s="29">
        <v>2828000</v>
      </c>
      <c r="H652" s="45">
        <v>1</v>
      </c>
      <c r="I652" s="31">
        <v>1.1479999999999999</v>
      </c>
      <c r="J652" s="223">
        <f t="shared" si="81"/>
        <v>299000</v>
      </c>
      <c r="K652" s="32">
        <f t="shared" si="82"/>
        <v>299000</v>
      </c>
      <c r="L652" s="2"/>
      <c r="M652" s="14"/>
    </row>
    <row r="653" spans="1:13" s="289" customFormat="1" ht="61.5" customHeight="1" x14ac:dyDescent="0.3">
      <c r="A653" s="69"/>
      <c r="B653" s="8"/>
      <c r="C653" s="82" t="s">
        <v>1373</v>
      </c>
      <c r="D653" s="267" t="s">
        <v>24</v>
      </c>
      <c r="E653" s="8" t="s">
        <v>25</v>
      </c>
      <c r="F653" s="72">
        <f>0.85*1.7*0.15</f>
        <v>0.21674999999999997</v>
      </c>
      <c r="G653" s="29">
        <v>2828000</v>
      </c>
      <c r="H653" s="45">
        <v>1</v>
      </c>
      <c r="I653" s="31">
        <v>1.1479999999999999</v>
      </c>
      <c r="J653" s="223">
        <f t="shared" si="81"/>
        <v>704000</v>
      </c>
      <c r="K653" s="32">
        <f t="shared" si="82"/>
        <v>704000</v>
      </c>
      <c r="L653" s="2"/>
      <c r="M653" s="14"/>
    </row>
    <row r="654" spans="1:13" s="289" customFormat="1" ht="61.5" customHeight="1" x14ac:dyDescent="0.3">
      <c r="A654" s="69"/>
      <c r="B654" s="8"/>
      <c r="C654" s="82" t="s">
        <v>1374</v>
      </c>
      <c r="D654" s="270" t="s">
        <v>52</v>
      </c>
      <c r="E654" s="27" t="s">
        <v>23</v>
      </c>
      <c r="F654" s="72">
        <f>(2.2*2.5)*2</f>
        <v>11</v>
      </c>
      <c r="G654" s="11" t="s">
        <v>53</v>
      </c>
      <c r="H654" s="45">
        <v>1</v>
      </c>
      <c r="I654" s="79">
        <v>1.1479999999999999</v>
      </c>
      <c r="J654" s="223">
        <f t="shared" si="81"/>
        <v>2980000</v>
      </c>
      <c r="K654" s="32">
        <f t="shared" si="82"/>
        <v>2980000</v>
      </c>
      <c r="L654" s="2"/>
      <c r="M654" s="14"/>
    </row>
    <row r="655" spans="1:13" s="289" customFormat="1" ht="61.5" customHeight="1" x14ac:dyDescent="0.3">
      <c r="A655" s="69"/>
      <c r="B655" s="8"/>
      <c r="C655" s="82" t="s">
        <v>1375</v>
      </c>
      <c r="D655" s="270" t="s">
        <v>29</v>
      </c>
      <c r="E655" s="27" t="s">
        <v>23</v>
      </c>
      <c r="F655" s="72">
        <f>4.4*1.4</f>
        <v>6.16</v>
      </c>
      <c r="G655" s="29">
        <v>792000</v>
      </c>
      <c r="H655" s="45">
        <v>1</v>
      </c>
      <c r="I655" s="31">
        <v>1.1479999999999999</v>
      </c>
      <c r="J655" s="223">
        <f t="shared" si="81"/>
        <v>5601000</v>
      </c>
      <c r="K655" s="32">
        <f t="shared" si="82"/>
        <v>5601000</v>
      </c>
      <c r="L655" s="2"/>
      <c r="M655" s="14"/>
    </row>
    <row r="656" spans="1:13" s="289" customFormat="1" ht="61.5" customHeight="1" x14ac:dyDescent="0.3">
      <c r="A656" s="69"/>
      <c r="B656" s="8"/>
      <c r="C656" s="82" t="s">
        <v>1376</v>
      </c>
      <c r="D656" s="270" t="s">
        <v>52</v>
      </c>
      <c r="E656" s="96" t="s">
        <v>91</v>
      </c>
      <c r="F656" s="72">
        <f>6.5*0.4</f>
        <v>2.6</v>
      </c>
      <c r="G656" s="11" t="s">
        <v>53</v>
      </c>
      <c r="H656" s="45">
        <v>1</v>
      </c>
      <c r="I656" s="31">
        <v>1.1479999999999999</v>
      </c>
      <c r="J656" s="223">
        <f t="shared" si="81"/>
        <v>704000</v>
      </c>
      <c r="K656" s="32">
        <f t="shared" si="82"/>
        <v>704000</v>
      </c>
      <c r="L656" s="2"/>
      <c r="M656" s="14"/>
    </row>
    <row r="657" spans="1:13" s="289" customFormat="1" ht="61.5" customHeight="1" x14ac:dyDescent="0.3">
      <c r="A657" s="149">
        <v>42</v>
      </c>
      <c r="B657" s="150" t="s">
        <v>1356</v>
      </c>
      <c r="C657" s="455" t="s">
        <v>1377</v>
      </c>
      <c r="D657" s="456"/>
      <c r="E657" s="456"/>
      <c r="F657" s="456"/>
      <c r="G657" s="456"/>
      <c r="H657" s="456"/>
      <c r="I657" s="457"/>
      <c r="J657" s="221">
        <f>SUM(J658:J663)</f>
        <v>37815000</v>
      </c>
      <c r="K657" s="32">
        <f t="shared" si="82"/>
        <v>0</v>
      </c>
      <c r="L657" s="2"/>
      <c r="M657" s="24"/>
    </row>
    <row r="658" spans="1:13" s="289" customFormat="1" ht="45" customHeight="1" x14ac:dyDescent="0.3">
      <c r="A658" s="69"/>
      <c r="B658" s="8"/>
      <c r="C658" s="470" t="s">
        <v>1378</v>
      </c>
      <c r="D658" s="471"/>
      <c r="E658" s="471"/>
      <c r="F658" s="472"/>
      <c r="G658" s="471"/>
      <c r="H658" s="471"/>
      <c r="I658" s="473"/>
      <c r="J658" s="223"/>
      <c r="K658" s="32">
        <f t="shared" si="82"/>
        <v>0</v>
      </c>
      <c r="L658" s="2"/>
      <c r="M658" s="14"/>
    </row>
    <row r="659" spans="1:13" s="289" customFormat="1" ht="61.5" customHeight="1" x14ac:dyDescent="0.3">
      <c r="A659" s="69"/>
      <c r="B659" s="8"/>
      <c r="C659" s="82" t="s">
        <v>1379</v>
      </c>
      <c r="D659" s="270" t="s">
        <v>55</v>
      </c>
      <c r="E659" s="27" t="s">
        <v>23</v>
      </c>
      <c r="F659" s="72">
        <f>4.9*4</f>
        <v>19.600000000000001</v>
      </c>
      <c r="G659" s="29">
        <v>905000</v>
      </c>
      <c r="H659" s="45">
        <v>1</v>
      </c>
      <c r="I659" s="79">
        <v>1.1479999999999999</v>
      </c>
      <c r="J659" s="223">
        <f>ROUND(F659*G659*H659*I659,-3)</f>
        <v>20363000</v>
      </c>
      <c r="K659" s="32">
        <f t="shared" si="82"/>
        <v>20363000</v>
      </c>
      <c r="L659" s="2"/>
      <c r="M659" s="14"/>
    </row>
    <row r="660" spans="1:13" s="289" customFormat="1" ht="61.5" customHeight="1" x14ac:dyDescent="0.3">
      <c r="A660" s="69"/>
      <c r="B660" s="8"/>
      <c r="C660" s="82" t="s">
        <v>1380</v>
      </c>
      <c r="D660" s="271" t="s">
        <v>54</v>
      </c>
      <c r="E660" s="27" t="s">
        <v>23</v>
      </c>
      <c r="F660" s="72">
        <f>3.1*2.3+(3.5*3.2)*2</f>
        <v>29.53</v>
      </c>
      <c r="G660" s="46">
        <v>213000</v>
      </c>
      <c r="H660" s="45">
        <v>1</v>
      </c>
      <c r="I660" s="31">
        <v>1.1479999999999999</v>
      </c>
      <c r="J660" s="223">
        <f>ROUND(F660*G660*H660*I660,-3)</f>
        <v>7221000</v>
      </c>
      <c r="K660" s="32">
        <f t="shared" si="82"/>
        <v>7221000</v>
      </c>
      <c r="L660" s="2"/>
      <c r="M660" s="14"/>
    </row>
    <row r="661" spans="1:13" s="289" customFormat="1" ht="61.5" customHeight="1" x14ac:dyDescent="0.3">
      <c r="A661" s="69"/>
      <c r="B661" s="8"/>
      <c r="C661" s="82" t="s">
        <v>1381</v>
      </c>
      <c r="D661" s="271" t="s">
        <v>54</v>
      </c>
      <c r="E661" s="27" t="s">
        <v>23</v>
      </c>
      <c r="F661" s="72">
        <f>4.9*1+3*0.3+(1*3.5)*2</f>
        <v>12.8</v>
      </c>
      <c r="G661" s="46">
        <v>213000</v>
      </c>
      <c r="H661" s="45">
        <v>1</v>
      </c>
      <c r="I661" s="31">
        <v>1.1479999999999999</v>
      </c>
      <c r="J661" s="223">
        <f>ROUND(F661*G661*H661*I661,-3)</f>
        <v>3130000</v>
      </c>
      <c r="K661" s="32">
        <f t="shared" si="82"/>
        <v>3130000</v>
      </c>
      <c r="L661" s="2"/>
      <c r="M661" s="14"/>
    </row>
    <row r="662" spans="1:13" s="289" customFormat="1" ht="61.5" customHeight="1" x14ac:dyDescent="0.3">
      <c r="A662" s="69"/>
      <c r="B662" s="8"/>
      <c r="C662" s="82" t="s">
        <v>1382</v>
      </c>
      <c r="D662" s="271" t="s">
        <v>54</v>
      </c>
      <c r="E662" s="27" t="s">
        <v>23</v>
      </c>
      <c r="F662" s="72">
        <f>3*3.3</f>
        <v>9.8999999999999986</v>
      </c>
      <c r="G662" s="46">
        <v>213000</v>
      </c>
      <c r="H662" s="45">
        <v>1</v>
      </c>
      <c r="I662" s="31">
        <v>1.1479999999999999</v>
      </c>
      <c r="J662" s="223">
        <f>ROUND(F662*G662*H662*I662,-3)</f>
        <v>2421000</v>
      </c>
      <c r="K662" s="32">
        <f t="shared" si="82"/>
        <v>2421000</v>
      </c>
      <c r="L662" s="2"/>
      <c r="M662" s="14"/>
    </row>
    <row r="663" spans="1:13" s="289" customFormat="1" ht="61.5" customHeight="1" x14ac:dyDescent="0.3">
      <c r="A663" s="69"/>
      <c r="B663" s="8"/>
      <c r="C663" s="82" t="s">
        <v>1383</v>
      </c>
      <c r="D663" s="272" t="s">
        <v>33</v>
      </c>
      <c r="E663" s="27" t="s">
        <v>23</v>
      </c>
      <c r="F663" s="72">
        <f>4.5*2</f>
        <v>9</v>
      </c>
      <c r="G663" s="29">
        <v>453000</v>
      </c>
      <c r="H663" s="45">
        <v>1</v>
      </c>
      <c r="I663" s="31">
        <v>1.1479999999999999</v>
      </c>
      <c r="J663" s="223">
        <f>ROUND(F663*G663*H663*I663,-3)</f>
        <v>4680000</v>
      </c>
      <c r="K663" s="32">
        <f t="shared" si="82"/>
        <v>4680000</v>
      </c>
      <c r="L663" s="2"/>
      <c r="M663" s="14"/>
    </row>
    <row r="664" spans="1:13" s="289" customFormat="1" ht="61.5" customHeight="1" x14ac:dyDescent="0.3">
      <c r="A664" s="149">
        <v>41</v>
      </c>
      <c r="B664" s="150" t="s">
        <v>1386</v>
      </c>
      <c r="C664" s="455" t="s">
        <v>1387</v>
      </c>
      <c r="D664" s="456"/>
      <c r="E664" s="456"/>
      <c r="F664" s="456"/>
      <c r="G664" s="456"/>
      <c r="H664" s="456"/>
      <c r="I664" s="457"/>
      <c r="J664" s="221">
        <f>SUM(J665:J666)</f>
        <v>411810000</v>
      </c>
      <c r="K664" s="32">
        <f t="shared" si="82"/>
        <v>0</v>
      </c>
      <c r="L664" s="2"/>
      <c r="M664" s="24"/>
    </row>
    <row r="665" spans="1:13" s="289" customFormat="1" ht="103.5" customHeight="1" x14ac:dyDescent="0.3">
      <c r="A665" s="67"/>
      <c r="B665" s="68"/>
      <c r="C665" s="25" t="s">
        <v>1384</v>
      </c>
      <c r="D665" s="267" t="s">
        <v>112</v>
      </c>
      <c r="E665" s="27" t="s">
        <v>23</v>
      </c>
      <c r="F665" s="35">
        <v>26.5</v>
      </c>
      <c r="G665" s="49">
        <v>11100000</v>
      </c>
      <c r="H665" s="286">
        <v>1</v>
      </c>
      <c r="I665" s="268">
        <v>1.4</v>
      </c>
      <c r="J665" s="32">
        <f>ROUND(F665*G665*H665*I665,-3)</f>
        <v>411810000</v>
      </c>
      <c r="K665" s="32"/>
      <c r="L665" s="2"/>
      <c r="M665" s="251">
        <v>48.9</v>
      </c>
    </row>
    <row r="666" spans="1:13" s="289" customFormat="1" ht="75" customHeight="1" x14ac:dyDescent="0.3">
      <c r="A666" s="67"/>
      <c r="B666" s="68"/>
      <c r="C666" s="20" t="s">
        <v>546</v>
      </c>
      <c r="D666" s="267"/>
      <c r="E666" s="27" t="s">
        <v>23</v>
      </c>
      <c r="F666" s="35">
        <v>18.399999999999999</v>
      </c>
      <c r="G666" s="464" t="s">
        <v>1385</v>
      </c>
      <c r="H666" s="464"/>
      <c r="I666" s="465"/>
      <c r="J666" s="227"/>
      <c r="K666" s="32"/>
      <c r="L666" s="2"/>
      <c r="M666" s="251"/>
    </row>
    <row r="667" spans="1:13" ht="61.5" customHeight="1" x14ac:dyDescent="0.3">
      <c r="A667" s="149">
        <v>29</v>
      </c>
      <c r="B667" s="150" t="s">
        <v>563</v>
      </c>
      <c r="C667" s="455" t="s">
        <v>564</v>
      </c>
      <c r="D667" s="456"/>
      <c r="E667" s="456"/>
      <c r="F667" s="456"/>
      <c r="G667" s="456"/>
      <c r="H667" s="456"/>
      <c r="I667" s="457"/>
      <c r="J667" s="221">
        <f>SUM(J668:J677)</f>
        <v>208901000</v>
      </c>
      <c r="K667" s="32">
        <f>ROUND(G667*H667*I667*F667,-3)</f>
        <v>0</v>
      </c>
      <c r="L667" s="261">
        <f t="shared" ref="L667:L689" si="83">J667-K667</f>
        <v>208901000</v>
      </c>
      <c r="M667" s="24"/>
    </row>
    <row r="668" spans="1:13" ht="90" customHeight="1" x14ac:dyDescent="0.3">
      <c r="A668" s="67"/>
      <c r="B668" s="68"/>
      <c r="C668" s="20" t="s">
        <v>565</v>
      </c>
      <c r="D668" s="267"/>
      <c r="E668" s="27" t="s">
        <v>23</v>
      </c>
      <c r="F668" s="35">
        <v>47.4</v>
      </c>
      <c r="G668" s="464" t="s">
        <v>1110</v>
      </c>
      <c r="H668" s="464"/>
      <c r="I668" s="465"/>
      <c r="J668" s="227"/>
      <c r="K668" s="32"/>
      <c r="L668" s="261">
        <f t="shared" si="83"/>
        <v>0</v>
      </c>
      <c r="M668" s="14"/>
    </row>
    <row r="669" spans="1:13" ht="72" customHeight="1" x14ac:dyDescent="0.3">
      <c r="A669" s="69"/>
      <c r="B669" s="8"/>
      <c r="C669" s="82" t="s">
        <v>566</v>
      </c>
      <c r="D669" s="274" t="s">
        <v>63</v>
      </c>
      <c r="E669" s="27" t="s">
        <v>23</v>
      </c>
      <c r="F669" s="89">
        <f>9.2*6</f>
        <v>55.199999999999996</v>
      </c>
      <c r="G669" s="29">
        <v>2975000</v>
      </c>
      <c r="H669" s="45">
        <v>0.8</v>
      </c>
      <c r="I669" s="102">
        <v>1.1479999999999999</v>
      </c>
      <c r="J669" s="229">
        <f t="shared" ref="J669:J677" si="84">ROUND(F669*G669*H669*I669,-3)</f>
        <v>150820000</v>
      </c>
      <c r="K669" s="32">
        <f t="shared" ref="K669:K678" si="85">ROUND(G669*H669*I669*F669,-3)</f>
        <v>150820000</v>
      </c>
      <c r="L669" s="261">
        <f t="shared" si="83"/>
        <v>0</v>
      </c>
      <c r="M669" s="14"/>
    </row>
    <row r="670" spans="1:13" ht="61.5" customHeight="1" x14ac:dyDescent="0.3">
      <c r="A670" s="69"/>
      <c r="B670" s="8"/>
      <c r="C670" s="82" t="s">
        <v>567</v>
      </c>
      <c r="D670" s="267" t="s">
        <v>26</v>
      </c>
      <c r="E670" s="27" t="s">
        <v>23</v>
      </c>
      <c r="F670" s="89">
        <f>4.5*4.3</f>
        <v>19.349999999999998</v>
      </c>
      <c r="G670" s="29">
        <v>679000</v>
      </c>
      <c r="H670" s="45">
        <v>0.8</v>
      </c>
      <c r="I670" s="31">
        <v>1.1479999999999999</v>
      </c>
      <c r="J670" s="223">
        <f t="shared" si="84"/>
        <v>12067000</v>
      </c>
      <c r="K670" s="32">
        <f t="shared" si="85"/>
        <v>12067000</v>
      </c>
      <c r="L670" s="261">
        <f t="shared" si="83"/>
        <v>0</v>
      </c>
      <c r="M670" s="14"/>
    </row>
    <row r="671" spans="1:13" ht="61.5" customHeight="1" x14ac:dyDescent="0.3">
      <c r="A671" s="69"/>
      <c r="B671" s="8"/>
      <c r="C671" s="82" t="s">
        <v>568</v>
      </c>
      <c r="D671" s="270" t="s">
        <v>52</v>
      </c>
      <c r="E671" s="71" t="s">
        <v>23</v>
      </c>
      <c r="F671" s="72">
        <f>9.2*5.8</f>
        <v>53.359999999999992</v>
      </c>
      <c r="G671" s="11" t="s">
        <v>53</v>
      </c>
      <c r="H671" s="45">
        <v>0.8</v>
      </c>
      <c r="I671" s="31">
        <v>1.1479999999999999</v>
      </c>
      <c r="J671" s="223">
        <f t="shared" si="84"/>
        <v>11565000</v>
      </c>
      <c r="K671" s="32">
        <f t="shared" si="85"/>
        <v>11565000</v>
      </c>
      <c r="L671" s="261">
        <f t="shared" si="83"/>
        <v>0</v>
      </c>
      <c r="M671" s="14"/>
    </row>
    <row r="672" spans="1:13" ht="61.5" customHeight="1" x14ac:dyDescent="0.3">
      <c r="A672" s="69"/>
      <c r="B672" s="8"/>
      <c r="C672" s="82" t="s">
        <v>569</v>
      </c>
      <c r="D672" s="271" t="s">
        <v>54</v>
      </c>
      <c r="E672" s="71" t="s">
        <v>23</v>
      </c>
      <c r="F672" s="72">
        <f>7.9*3</f>
        <v>23.700000000000003</v>
      </c>
      <c r="G672" s="46">
        <v>213000</v>
      </c>
      <c r="H672" s="45">
        <v>0.8</v>
      </c>
      <c r="I672" s="31">
        <v>1.1479999999999999</v>
      </c>
      <c r="J672" s="223">
        <f t="shared" si="84"/>
        <v>4636000</v>
      </c>
      <c r="K672" s="32">
        <f t="shared" si="85"/>
        <v>4636000</v>
      </c>
      <c r="L672" s="261">
        <f t="shared" si="83"/>
        <v>0</v>
      </c>
      <c r="M672" s="14"/>
    </row>
    <row r="673" spans="1:13" ht="61.5" customHeight="1" x14ac:dyDescent="0.3">
      <c r="A673" s="69"/>
      <c r="B673" s="8"/>
      <c r="C673" s="82" t="s">
        <v>570</v>
      </c>
      <c r="D673" s="270" t="s">
        <v>101</v>
      </c>
      <c r="E673" s="71" t="s">
        <v>23</v>
      </c>
      <c r="F673" s="72">
        <f>4.5*2</f>
        <v>9</v>
      </c>
      <c r="G673" s="29">
        <v>339000</v>
      </c>
      <c r="H673" s="45">
        <v>0.8</v>
      </c>
      <c r="I673" s="31">
        <v>1.1479999999999999</v>
      </c>
      <c r="J673" s="223">
        <f t="shared" si="84"/>
        <v>2802000</v>
      </c>
      <c r="K673" s="32">
        <f t="shared" si="85"/>
        <v>2802000</v>
      </c>
      <c r="L673" s="261">
        <f t="shared" si="83"/>
        <v>0</v>
      </c>
      <c r="M673" s="14"/>
    </row>
    <row r="674" spans="1:13" ht="61.5" customHeight="1" x14ac:dyDescent="0.3">
      <c r="A674" s="69"/>
      <c r="B674" s="8"/>
      <c r="C674" s="82" t="s">
        <v>571</v>
      </c>
      <c r="D674" s="271" t="s">
        <v>54</v>
      </c>
      <c r="E674" s="27" t="s">
        <v>23</v>
      </c>
      <c r="F674" s="72">
        <f>4.1*1.8</f>
        <v>7.38</v>
      </c>
      <c r="G674" s="46">
        <v>213000</v>
      </c>
      <c r="H674" s="45">
        <v>0.8</v>
      </c>
      <c r="I674" s="31">
        <v>1.1479999999999999</v>
      </c>
      <c r="J674" s="223">
        <f t="shared" si="84"/>
        <v>1444000</v>
      </c>
      <c r="K674" s="32">
        <f t="shared" si="85"/>
        <v>1444000</v>
      </c>
      <c r="L674" s="261">
        <f t="shared" si="83"/>
        <v>0</v>
      </c>
      <c r="M674" s="14"/>
    </row>
    <row r="675" spans="1:13" ht="61.5" customHeight="1" x14ac:dyDescent="0.3">
      <c r="A675" s="69"/>
      <c r="B675" s="8"/>
      <c r="C675" s="82" t="s">
        <v>838</v>
      </c>
      <c r="D675" s="270" t="s">
        <v>51</v>
      </c>
      <c r="E675" s="27" t="s">
        <v>23</v>
      </c>
      <c r="F675" s="72">
        <f>2.6*6</f>
        <v>15.600000000000001</v>
      </c>
      <c r="G675" s="29">
        <v>453000</v>
      </c>
      <c r="H675" s="45">
        <v>0.8</v>
      </c>
      <c r="I675" s="31">
        <v>1.1479999999999999</v>
      </c>
      <c r="J675" s="223">
        <f t="shared" si="84"/>
        <v>6490000</v>
      </c>
      <c r="K675" s="32">
        <f t="shared" si="85"/>
        <v>6490000</v>
      </c>
      <c r="L675" s="261">
        <f t="shared" si="83"/>
        <v>0</v>
      </c>
      <c r="M675" s="14"/>
    </row>
    <row r="676" spans="1:13" ht="61.5" customHeight="1" x14ac:dyDescent="0.3">
      <c r="A676" s="69"/>
      <c r="B676" s="8"/>
      <c r="C676" s="82" t="s">
        <v>572</v>
      </c>
      <c r="D676" s="270" t="s">
        <v>55</v>
      </c>
      <c r="E676" s="27" t="s">
        <v>23</v>
      </c>
      <c r="F676" s="72">
        <f>6*2.4</f>
        <v>14.399999999999999</v>
      </c>
      <c r="G676" s="29">
        <v>905000</v>
      </c>
      <c r="H676" s="45">
        <v>0.8</v>
      </c>
      <c r="I676" s="79">
        <v>1.1479999999999999</v>
      </c>
      <c r="J676" s="223">
        <f t="shared" si="84"/>
        <v>11969000</v>
      </c>
      <c r="K676" s="32">
        <f t="shared" si="85"/>
        <v>11969000</v>
      </c>
      <c r="L676" s="261">
        <f t="shared" si="83"/>
        <v>0</v>
      </c>
      <c r="M676" s="14"/>
    </row>
    <row r="677" spans="1:13" ht="61.5" customHeight="1" x14ac:dyDescent="0.3">
      <c r="A677" s="69"/>
      <c r="B677" s="8"/>
      <c r="C677" s="82" t="s">
        <v>573</v>
      </c>
      <c r="D677" s="271" t="s">
        <v>32</v>
      </c>
      <c r="E677" s="27" t="s">
        <v>23</v>
      </c>
      <c r="F677" s="72">
        <f>6*6</f>
        <v>36</v>
      </c>
      <c r="G677" s="29">
        <v>215000</v>
      </c>
      <c r="H677" s="45">
        <v>0.8</v>
      </c>
      <c r="I677" s="31">
        <v>1.1479999999999999</v>
      </c>
      <c r="J677" s="223">
        <f t="shared" si="84"/>
        <v>7108000</v>
      </c>
      <c r="K677" s="32">
        <f t="shared" si="85"/>
        <v>7108000</v>
      </c>
      <c r="L677" s="261">
        <f t="shared" si="83"/>
        <v>0</v>
      </c>
      <c r="M677" s="14"/>
    </row>
    <row r="678" spans="1:13" ht="61.5" customHeight="1" x14ac:dyDescent="0.3">
      <c r="A678" s="149">
        <v>30</v>
      </c>
      <c r="B678" s="150" t="s">
        <v>574</v>
      </c>
      <c r="C678" s="474" t="s">
        <v>1055</v>
      </c>
      <c r="D678" s="475"/>
      <c r="E678" s="475"/>
      <c r="F678" s="475"/>
      <c r="G678" s="475"/>
      <c r="H678" s="475"/>
      <c r="I678" s="476"/>
      <c r="J678" s="221">
        <f>SUM(J679)</f>
        <v>0</v>
      </c>
      <c r="K678" s="32">
        <f t="shared" si="85"/>
        <v>0</v>
      </c>
      <c r="L678" s="261">
        <f t="shared" si="83"/>
        <v>0</v>
      </c>
      <c r="M678" s="232" t="s">
        <v>575</v>
      </c>
    </row>
    <row r="679" spans="1:13" ht="90" customHeight="1" x14ac:dyDescent="0.3">
      <c r="A679" s="67"/>
      <c r="B679" s="68"/>
      <c r="C679" s="20" t="s">
        <v>576</v>
      </c>
      <c r="D679" s="267"/>
      <c r="E679" s="27" t="s">
        <v>23</v>
      </c>
      <c r="F679" s="35">
        <v>61.5</v>
      </c>
      <c r="G679" s="464" t="s">
        <v>1115</v>
      </c>
      <c r="H679" s="464"/>
      <c r="I679" s="465"/>
      <c r="J679" s="227"/>
      <c r="K679" s="32"/>
      <c r="L679" s="261">
        <f t="shared" si="83"/>
        <v>0</v>
      </c>
      <c r="M679" s="14"/>
    </row>
    <row r="680" spans="1:13" ht="61.5" customHeight="1" x14ac:dyDescent="0.3">
      <c r="A680" s="149">
        <v>31</v>
      </c>
      <c r="B680" s="150" t="s">
        <v>574</v>
      </c>
      <c r="C680" s="474" t="s">
        <v>1056</v>
      </c>
      <c r="D680" s="475"/>
      <c r="E680" s="475"/>
      <c r="F680" s="475"/>
      <c r="G680" s="475"/>
      <c r="H680" s="475"/>
      <c r="I680" s="476"/>
      <c r="J680" s="221">
        <f>SUM(J681:J689)</f>
        <v>132794000</v>
      </c>
      <c r="K680" s="32">
        <f t="shared" ref="K680:K690" si="86">ROUND(G680*H680*I680*F680,-3)</f>
        <v>0</v>
      </c>
      <c r="L680" s="261">
        <f t="shared" si="83"/>
        <v>132794000</v>
      </c>
      <c r="M680" s="232" t="s">
        <v>575</v>
      </c>
    </row>
    <row r="681" spans="1:13" ht="61.5" customHeight="1" x14ac:dyDescent="0.3">
      <c r="A681" s="69"/>
      <c r="B681" s="8"/>
      <c r="C681" s="470" t="s">
        <v>1057</v>
      </c>
      <c r="D681" s="471"/>
      <c r="E681" s="471"/>
      <c r="F681" s="472"/>
      <c r="G681" s="471"/>
      <c r="H681" s="471"/>
      <c r="I681" s="473"/>
      <c r="J681" s="223"/>
      <c r="K681" s="32">
        <f t="shared" si="86"/>
        <v>0</v>
      </c>
      <c r="L681" s="261">
        <f t="shared" si="83"/>
        <v>0</v>
      </c>
      <c r="M681" s="14"/>
    </row>
    <row r="682" spans="1:13" ht="61.5" customHeight="1" x14ac:dyDescent="0.3">
      <c r="A682" s="69"/>
      <c r="B682" s="8"/>
      <c r="C682" s="82" t="s">
        <v>839</v>
      </c>
      <c r="D682" s="270" t="s">
        <v>51</v>
      </c>
      <c r="E682" s="27" t="s">
        <v>23</v>
      </c>
      <c r="F682" s="72">
        <f>5.3*15.6</f>
        <v>82.679999999999993</v>
      </c>
      <c r="G682" s="29">
        <v>453000</v>
      </c>
      <c r="H682" s="45">
        <v>0.8</v>
      </c>
      <c r="I682" s="31">
        <v>1.1479999999999999</v>
      </c>
      <c r="J682" s="223">
        <f t="shared" ref="J682:J689" si="87">ROUND(F682*G682*H682*I682,-3)</f>
        <v>34398000</v>
      </c>
      <c r="K682" s="32">
        <f t="shared" si="86"/>
        <v>34398000</v>
      </c>
      <c r="L682" s="261">
        <f t="shared" si="83"/>
        <v>0</v>
      </c>
      <c r="M682" s="14"/>
    </row>
    <row r="683" spans="1:13" ht="61.5" customHeight="1" x14ac:dyDescent="0.3">
      <c r="A683" s="69"/>
      <c r="B683" s="8"/>
      <c r="C683" s="82" t="s">
        <v>577</v>
      </c>
      <c r="D683" s="272" t="s">
        <v>33</v>
      </c>
      <c r="E683" s="27" t="s">
        <v>23</v>
      </c>
      <c r="F683" s="89">
        <f>15.6*6</f>
        <v>93.6</v>
      </c>
      <c r="G683" s="29">
        <v>453000</v>
      </c>
      <c r="H683" s="45">
        <v>0.8</v>
      </c>
      <c r="I683" s="31">
        <v>1.1479999999999999</v>
      </c>
      <c r="J683" s="223">
        <f t="shared" si="87"/>
        <v>38941000</v>
      </c>
      <c r="K683" s="32">
        <f t="shared" si="86"/>
        <v>38941000</v>
      </c>
      <c r="L683" s="261">
        <f t="shared" si="83"/>
        <v>0</v>
      </c>
      <c r="M683" s="14"/>
    </row>
    <row r="684" spans="1:13" ht="61.5" customHeight="1" x14ac:dyDescent="0.3">
      <c r="A684" s="93"/>
      <c r="B684" s="94"/>
      <c r="C684" s="70" t="s">
        <v>578</v>
      </c>
      <c r="D684" s="271" t="s">
        <v>32</v>
      </c>
      <c r="E684" s="27" t="s">
        <v>23</v>
      </c>
      <c r="F684" s="95">
        <f>(5.3*15.6)-(5*5.2)-(5.2*0.3)*2</f>
        <v>53.559999999999995</v>
      </c>
      <c r="G684" s="29">
        <v>215000</v>
      </c>
      <c r="H684" s="45">
        <v>0.8</v>
      </c>
      <c r="I684" s="31">
        <v>1.1479999999999999</v>
      </c>
      <c r="J684" s="223">
        <f t="shared" si="87"/>
        <v>10576000</v>
      </c>
      <c r="K684" s="32">
        <f t="shared" si="86"/>
        <v>10576000</v>
      </c>
      <c r="L684" s="261">
        <f t="shared" si="83"/>
        <v>0</v>
      </c>
      <c r="M684" s="24"/>
    </row>
    <row r="685" spans="1:13" ht="61.5" customHeight="1" x14ac:dyDescent="0.3">
      <c r="A685" s="69"/>
      <c r="B685" s="8"/>
      <c r="C685" s="82" t="s">
        <v>579</v>
      </c>
      <c r="D685" s="270" t="s">
        <v>52</v>
      </c>
      <c r="E685" s="27" t="s">
        <v>23</v>
      </c>
      <c r="F685" s="72">
        <f>5.35*2.5</f>
        <v>13.375</v>
      </c>
      <c r="G685" s="11" t="s">
        <v>53</v>
      </c>
      <c r="H685" s="45">
        <v>0.8</v>
      </c>
      <c r="I685" s="79">
        <v>1.1479999999999999</v>
      </c>
      <c r="J685" s="223">
        <f t="shared" si="87"/>
        <v>2899000</v>
      </c>
      <c r="K685" s="32">
        <f t="shared" si="86"/>
        <v>2899000</v>
      </c>
      <c r="L685" s="261">
        <f t="shared" si="83"/>
        <v>0</v>
      </c>
      <c r="M685" s="14"/>
    </row>
    <row r="686" spans="1:13" ht="61.5" customHeight="1" x14ac:dyDescent="0.3">
      <c r="A686" s="69"/>
      <c r="B686" s="8"/>
      <c r="C686" s="82" t="s">
        <v>580</v>
      </c>
      <c r="D686" s="270" t="s">
        <v>80</v>
      </c>
      <c r="E686" s="71" t="s">
        <v>23</v>
      </c>
      <c r="F686" s="72">
        <f>8*4.55</f>
        <v>36.4</v>
      </c>
      <c r="G686" s="29">
        <v>385000</v>
      </c>
      <c r="H686" s="45">
        <v>0.8</v>
      </c>
      <c r="I686" s="31">
        <v>1.1479999999999999</v>
      </c>
      <c r="J686" s="223">
        <f t="shared" si="87"/>
        <v>12870000</v>
      </c>
      <c r="K686" s="32">
        <f t="shared" si="86"/>
        <v>12870000</v>
      </c>
      <c r="L686" s="261">
        <f t="shared" si="83"/>
        <v>0</v>
      </c>
      <c r="M686" s="14"/>
    </row>
    <row r="687" spans="1:13" ht="61.5" customHeight="1" x14ac:dyDescent="0.3">
      <c r="A687" s="69"/>
      <c r="B687" s="8"/>
      <c r="C687" s="82" t="s">
        <v>581</v>
      </c>
      <c r="D687" s="271" t="s">
        <v>32</v>
      </c>
      <c r="E687" s="27" t="s">
        <v>23</v>
      </c>
      <c r="F687" s="72">
        <f>6.9*15.6</f>
        <v>107.64</v>
      </c>
      <c r="G687" s="29">
        <v>215000</v>
      </c>
      <c r="H687" s="45">
        <v>0.8</v>
      </c>
      <c r="I687" s="31">
        <v>1.1479999999999999</v>
      </c>
      <c r="J687" s="223">
        <f t="shared" si="87"/>
        <v>21254000</v>
      </c>
      <c r="K687" s="32">
        <f t="shared" si="86"/>
        <v>21254000</v>
      </c>
      <c r="L687" s="261">
        <f t="shared" si="83"/>
        <v>0</v>
      </c>
      <c r="M687" s="14"/>
    </row>
    <row r="688" spans="1:13" ht="61.5" customHeight="1" x14ac:dyDescent="0.3">
      <c r="A688" s="69"/>
      <c r="B688" s="8"/>
      <c r="C688" s="82" t="s">
        <v>582</v>
      </c>
      <c r="D688" s="267" t="s">
        <v>24</v>
      </c>
      <c r="E688" s="8" t="s">
        <v>25</v>
      </c>
      <c r="F688" s="72">
        <f>(5.2*0.8*0.3)*2</f>
        <v>2.496</v>
      </c>
      <c r="G688" s="29">
        <v>2828000</v>
      </c>
      <c r="H688" s="45">
        <v>0.8</v>
      </c>
      <c r="I688" s="31">
        <v>1.1479999999999999</v>
      </c>
      <c r="J688" s="223">
        <f t="shared" si="87"/>
        <v>6483000</v>
      </c>
      <c r="K688" s="32">
        <f t="shared" si="86"/>
        <v>6483000</v>
      </c>
      <c r="L688" s="261">
        <f t="shared" si="83"/>
        <v>0</v>
      </c>
      <c r="M688" s="14"/>
    </row>
    <row r="689" spans="1:13" ht="61.5" customHeight="1" x14ac:dyDescent="0.3">
      <c r="A689" s="69"/>
      <c r="B689" s="8"/>
      <c r="C689" s="82" t="s">
        <v>583</v>
      </c>
      <c r="D689" s="271" t="s">
        <v>32</v>
      </c>
      <c r="E689" s="27" t="s">
        <v>23</v>
      </c>
      <c r="F689" s="72">
        <f>5*5.2+1.1*1.1</f>
        <v>27.21</v>
      </c>
      <c r="G689" s="29">
        <v>215000</v>
      </c>
      <c r="H689" s="45">
        <v>0.8</v>
      </c>
      <c r="I689" s="31">
        <v>1.1479999999999999</v>
      </c>
      <c r="J689" s="223">
        <f t="shared" si="87"/>
        <v>5373000</v>
      </c>
      <c r="K689" s="32">
        <f t="shared" si="86"/>
        <v>5373000</v>
      </c>
      <c r="L689" s="261">
        <f t="shared" si="83"/>
        <v>0</v>
      </c>
      <c r="M689" s="14"/>
    </row>
    <row r="690" spans="1:13" ht="61.5" customHeight="1" x14ac:dyDescent="0.3">
      <c r="A690" s="149">
        <v>32</v>
      </c>
      <c r="B690" s="150" t="s">
        <v>584</v>
      </c>
      <c r="C690" s="455" t="s">
        <v>585</v>
      </c>
      <c r="D690" s="456"/>
      <c r="E690" s="456"/>
      <c r="F690" s="456"/>
      <c r="G690" s="456"/>
      <c r="H690" s="456"/>
      <c r="I690" s="457"/>
      <c r="J690" s="221">
        <f>SUM(J691:J697)</f>
        <v>79654000</v>
      </c>
      <c r="K690" s="32">
        <f t="shared" si="86"/>
        <v>0</v>
      </c>
      <c r="L690" s="261">
        <f t="shared" ref="L690:L727" si="88">J690-K690</f>
        <v>79654000</v>
      </c>
      <c r="M690" s="24"/>
    </row>
    <row r="691" spans="1:13" ht="90" customHeight="1" x14ac:dyDescent="0.3">
      <c r="A691" s="67"/>
      <c r="B691" s="68"/>
      <c r="C691" s="20" t="s">
        <v>586</v>
      </c>
      <c r="D691" s="267"/>
      <c r="E691" s="27" t="s">
        <v>23</v>
      </c>
      <c r="F691" s="35">
        <v>54.8</v>
      </c>
      <c r="G691" s="464" t="s">
        <v>1041</v>
      </c>
      <c r="H691" s="464"/>
      <c r="I691" s="465"/>
      <c r="J691" s="227"/>
      <c r="K691" s="32"/>
      <c r="L691" s="261">
        <f t="shared" si="88"/>
        <v>0</v>
      </c>
      <c r="M691" s="14"/>
    </row>
    <row r="692" spans="1:13" ht="61.5" customHeight="1" x14ac:dyDescent="0.3">
      <c r="A692" s="69"/>
      <c r="B692" s="8"/>
      <c r="C692" s="82" t="s">
        <v>840</v>
      </c>
      <c r="D692" s="270" t="s">
        <v>51</v>
      </c>
      <c r="E692" s="27" t="s">
        <v>23</v>
      </c>
      <c r="F692" s="72">
        <f>9.9*5</f>
        <v>49.5</v>
      </c>
      <c r="G692" s="29">
        <v>453000</v>
      </c>
      <c r="H692" s="45">
        <v>0.8</v>
      </c>
      <c r="I692" s="31">
        <v>1.1479999999999999</v>
      </c>
      <c r="J692" s="223">
        <f t="shared" ref="J692:J697" si="89">ROUND(F692*G692*H692*I692,-3)</f>
        <v>20594000</v>
      </c>
      <c r="K692" s="32">
        <f t="shared" ref="K692:K697" si="90">ROUND(G692*H692*I692*F692,-3)</f>
        <v>20594000</v>
      </c>
      <c r="L692" s="261">
        <f t="shared" si="88"/>
        <v>0</v>
      </c>
      <c r="M692" s="14"/>
    </row>
    <row r="693" spans="1:13" ht="61.5" customHeight="1" x14ac:dyDescent="0.3">
      <c r="A693" s="69"/>
      <c r="B693" s="8"/>
      <c r="C693" s="82" t="s">
        <v>587</v>
      </c>
      <c r="D693" s="267" t="s">
        <v>161</v>
      </c>
      <c r="E693" s="71" t="s">
        <v>23</v>
      </c>
      <c r="F693" s="72">
        <f>9.6*4</f>
        <v>38.4</v>
      </c>
      <c r="G693" s="11">
        <v>396000</v>
      </c>
      <c r="H693" s="45">
        <v>0.8</v>
      </c>
      <c r="I693" s="31">
        <v>1.1479999999999999</v>
      </c>
      <c r="J693" s="223">
        <f t="shared" si="89"/>
        <v>13966000</v>
      </c>
      <c r="K693" s="32">
        <f t="shared" si="90"/>
        <v>13966000</v>
      </c>
      <c r="L693" s="261">
        <f t="shared" si="88"/>
        <v>0</v>
      </c>
      <c r="M693" s="14"/>
    </row>
    <row r="694" spans="1:13" ht="61.5" customHeight="1" x14ac:dyDescent="0.3">
      <c r="A694" s="69"/>
      <c r="B694" s="8"/>
      <c r="C694" s="82" t="s">
        <v>588</v>
      </c>
      <c r="D694" s="272" t="s">
        <v>33</v>
      </c>
      <c r="E694" s="27" t="s">
        <v>23</v>
      </c>
      <c r="F694" s="89">
        <f>1.5*9.6</f>
        <v>14.399999999999999</v>
      </c>
      <c r="G694" s="29">
        <v>453000</v>
      </c>
      <c r="H694" s="45">
        <v>0.8</v>
      </c>
      <c r="I694" s="31">
        <v>1.1479999999999999</v>
      </c>
      <c r="J694" s="223">
        <f t="shared" si="89"/>
        <v>5991000</v>
      </c>
      <c r="K694" s="32">
        <f t="shared" si="90"/>
        <v>5991000</v>
      </c>
      <c r="L694" s="261">
        <f t="shared" si="88"/>
        <v>0</v>
      </c>
      <c r="M694" s="14"/>
    </row>
    <row r="695" spans="1:13" ht="61.5" customHeight="1" x14ac:dyDescent="0.3">
      <c r="A695" s="69"/>
      <c r="B695" s="8"/>
      <c r="C695" s="82" t="s">
        <v>589</v>
      </c>
      <c r="D695" s="271" t="s">
        <v>32</v>
      </c>
      <c r="E695" s="27" t="s">
        <v>23</v>
      </c>
      <c r="F695" s="72">
        <f>9.6*7.6</f>
        <v>72.959999999999994</v>
      </c>
      <c r="G695" s="29">
        <v>215000</v>
      </c>
      <c r="H695" s="45">
        <v>0.8</v>
      </c>
      <c r="I695" s="31">
        <v>1.1479999999999999</v>
      </c>
      <c r="J695" s="223">
        <f t="shared" si="89"/>
        <v>14406000</v>
      </c>
      <c r="K695" s="32">
        <f t="shared" si="90"/>
        <v>14406000</v>
      </c>
      <c r="L695" s="261">
        <f t="shared" si="88"/>
        <v>0</v>
      </c>
      <c r="M695" s="14"/>
    </row>
    <row r="696" spans="1:13" ht="61.5" customHeight="1" x14ac:dyDescent="0.3">
      <c r="A696" s="69"/>
      <c r="B696" s="8"/>
      <c r="C696" s="82" t="s">
        <v>590</v>
      </c>
      <c r="D696" s="270" t="s">
        <v>101</v>
      </c>
      <c r="E696" s="71" t="s">
        <v>23</v>
      </c>
      <c r="F696" s="75">
        <f>5*9.6</f>
        <v>48</v>
      </c>
      <c r="G696" s="29">
        <v>339000</v>
      </c>
      <c r="H696" s="45">
        <v>0.8</v>
      </c>
      <c r="I696" s="31">
        <v>1.1479999999999999</v>
      </c>
      <c r="J696" s="223">
        <f t="shared" si="89"/>
        <v>14944000</v>
      </c>
      <c r="K696" s="32">
        <f t="shared" si="90"/>
        <v>14944000</v>
      </c>
      <c r="L696" s="261">
        <f t="shared" si="88"/>
        <v>0</v>
      </c>
      <c r="M696" s="14"/>
    </row>
    <row r="697" spans="1:13" ht="61.5" customHeight="1" x14ac:dyDescent="0.3">
      <c r="A697" s="69"/>
      <c r="B697" s="8"/>
      <c r="C697" s="82" t="s">
        <v>591</v>
      </c>
      <c r="D697" s="270" t="s">
        <v>52</v>
      </c>
      <c r="E697" s="27" t="s">
        <v>23</v>
      </c>
      <c r="F697" s="72">
        <f>(5*4.5)*2</f>
        <v>45</v>
      </c>
      <c r="G697" s="11" t="s">
        <v>53</v>
      </c>
      <c r="H697" s="45">
        <v>0.8</v>
      </c>
      <c r="I697" s="79">
        <v>1.1479999999999999</v>
      </c>
      <c r="J697" s="223">
        <f t="shared" si="89"/>
        <v>9753000</v>
      </c>
      <c r="K697" s="32">
        <f t="shared" si="90"/>
        <v>9753000</v>
      </c>
      <c r="L697" s="261">
        <f t="shared" si="88"/>
        <v>0</v>
      </c>
      <c r="M697" s="14"/>
    </row>
    <row r="698" spans="1:13" ht="61.5" customHeight="1" x14ac:dyDescent="0.3">
      <c r="A698" s="149">
        <v>33</v>
      </c>
      <c r="B698" s="150" t="s">
        <v>592</v>
      </c>
      <c r="C698" s="455" t="s">
        <v>1111</v>
      </c>
      <c r="D698" s="456"/>
      <c r="E698" s="456"/>
      <c r="F698" s="456"/>
      <c r="G698" s="456"/>
      <c r="H698" s="456"/>
      <c r="I698" s="457"/>
      <c r="J698" s="221">
        <f>SUM(J699:J721)</f>
        <v>101037000</v>
      </c>
      <c r="K698" s="32">
        <f>ROUND(G698*H698*I698*F698,-3)</f>
        <v>0</v>
      </c>
      <c r="L698" s="261">
        <f t="shared" si="88"/>
        <v>101037000</v>
      </c>
      <c r="M698" s="24"/>
    </row>
    <row r="699" spans="1:13" ht="90" customHeight="1" x14ac:dyDescent="0.3">
      <c r="A699" s="67"/>
      <c r="B699" s="68"/>
      <c r="C699" s="20" t="s">
        <v>593</v>
      </c>
      <c r="D699" s="267"/>
      <c r="E699" s="27" t="s">
        <v>23</v>
      </c>
      <c r="F699" s="35">
        <v>92</v>
      </c>
      <c r="G699" s="464" t="s">
        <v>1041</v>
      </c>
      <c r="H699" s="464"/>
      <c r="I699" s="465"/>
      <c r="J699" s="227"/>
      <c r="K699" s="32"/>
      <c r="L699" s="261">
        <f t="shared" si="88"/>
        <v>0</v>
      </c>
      <c r="M699" s="14"/>
    </row>
    <row r="700" spans="1:13" ht="61.5" customHeight="1" x14ac:dyDescent="0.3">
      <c r="A700" s="69"/>
      <c r="B700" s="8"/>
      <c r="C700" s="82" t="s">
        <v>594</v>
      </c>
      <c r="D700" s="267" t="s">
        <v>24</v>
      </c>
      <c r="E700" s="27" t="s">
        <v>25</v>
      </c>
      <c r="F700" s="72">
        <f>(0.6*0.6*3)*2</f>
        <v>2.16</v>
      </c>
      <c r="G700" s="29">
        <v>2828000</v>
      </c>
      <c r="H700" s="45">
        <v>0.8</v>
      </c>
      <c r="I700" s="31">
        <v>1.1479999999999999</v>
      </c>
      <c r="J700" s="223">
        <f t="shared" ref="J700:J721" si="91">ROUND(F700*G700*H700*I700,-3)</f>
        <v>5610000</v>
      </c>
      <c r="K700" s="32">
        <f t="shared" ref="K700:K721" si="92">ROUND(G700*H700*I700*F700,-3)</f>
        <v>5610000</v>
      </c>
      <c r="L700" s="261">
        <f t="shared" si="88"/>
        <v>0</v>
      </c>
      <c r="M700" s="14"/>
    </row>
    <row r="701" spans="1:13" ht="61.5" customHeight="1" x14ac:dyDescent="0.3">
      <c r="A701" s="69"/>
      <c r="B701" s="8"/>
      <c r="C701" s="82" t="s">
        <v>595</v>
      </c>
      <c r="D701" s="267" t="s">
        <v>26</v>
      </c>
      <c r="E701" s="27" t="s">
        <v>23</v>
      </c>
      <c r="F701" s="89">
        <f>5.2*2.4</f>
        <v>12.48</v>
      </c>
      <c r="G701" s="29">
        <v>679000</v>
      </c>
      <c r="H701" s="45">
        <v>0.8</v>
      </c>
      <c r="I701" s="31">
        <v>1.1479999999999999</v>
      </c>
      <c r="J701" s="223">
        <f t="shared" si="91"/>
        <v>7782000</v>
      </c>
      <c r="K701" s="32">
        <f t="shared" si="92"/>
        <v>7782000</v>
      </c>
      <c r="L701" s="261">
        <f t="shared" si="88"/>
        <v>0</v>
      </c>
      <c r="M701" s="14"/>
    </row>
    <row r="702" spans="1:13" ht="61.5" customHeight="1" x14ac:dyDescent="0.3">
      <c r="A702" s="69"/>
      <c r="B702" s="8"/>
      <c r="C702" s="82" t="s">
        <v>1113</v>
      </c>
      <c r="D702" s="270" t="s">
        <v>29</v>
      </c>
      <c r="E702" s="27" t="s">
        <v>23</v>
      </c>
      <c r="F702" s="72">
        <f>5.7*1.5+3.4*2.2</f>
        <v>16.03</v>
      </c>
      <c r="G702" s="29">
        <v>792000</v>
      </c>
      <c r="H702" s="45">
        <v>0.8</v>
      </c>
      <c r="I702" s="31">
        <v>1.1479999999999999</v>
      </c>
      <c r="J702" s="223">
        <f t="shared" si="91"/>
        <v>11660000</v>
      </c>
      <c r="K702" s="32">
        <f t="shared" si="92"/>
        <v>11660000</v>
      </c>
      <c r="L702" s="261">
        <f t="shared" si="88"/>
        <v>0</v>
      </c>
      <c r="M702" s="14"/>
    </row>
    <row r="703" spans="1:13" s="289" customFormat="1" ht="43.5" customHeight="1" x14ac:dyDescent="0.25">
      <c r="A703" s="67"/>
      <c r="B703" s="68"/>
      <c r="C703" s="25" t="s">
        <v>1112</v>
      </c>
      <c r="D703" s="272" t="s">
        <v>33</v>
      </c>
      <c r="E703" s="27" t="s">
        <v>23</v>
      </c>
      <c r="F703" s="35">
        <f>5.7*1.5+3.4*0.4</f>
        <v>9.91</v>
      </c>
      <c r="G703" s="29">
        <v>453000</v>
      </c>
      <c r="H703" s="45">
        <v>0.8</v>
      </c>
      <c r="I703" s="146">
        <v>1.1479999999999999</v>
      </c>
      <c r="J703" s="32">
        <f t="shared" si="91"/>
        <v>4123000</v>
      </c>
      <c r="K703" s="32">
        <f t="shared" si="92"/>
        <v>4123000</v>
      </c>
      <c r="L703" s="261">
        <f t="shared" si="88"/>
        <v>0</v>
      </c>
      <c r="M703" s="251"/>
    </row>
    <row r="704" spans="1:13" ht="61.5" customHeight="1" x14ac:dyDescent="0.3">
      <c r="A704" s="69"/>
      <c r="B704" s="8"/>
      <c r="C704" s="82" t="s">
        <v>596</v>
      </c>
      <c r="D704" s="270" t="s">
        <v>31</v>
      </c>
      <c r="E704" s="71" t="s">
        <v>23</v>
      </c>
      <c r="F704" s="75">
        <f>6*15.8</f>
        <v>94.800000000000011</v>
      </c>
      <c r="G704" s="29">
        <v>339000</v>
      </c>
      <c r="H704" s="45">
        <v>0.8</v>
      </c>
      <c r="I704" s="31">
        <v>1.1479999999999999</v>
      </c>
      <c r="J704" s="223">
        <f t="shared" si="91"/>
        <v>29515000</v>
      </c>
      <c r="K704" s="32">
        <f t="shared" si="92"/>
        <v>29515000</v>
      </c>
      <c r="L704" s="261">
        <f t="shared" si="88"/>
        <v>0</v>
      </c>
      <c r="M704" s="14"/>
    </row>
    <row r="705" spans="1:13" ht="61.5" customHeight="1" x14ac:dyDescent="0.3">
      <c r="A705" s="69"/>
      <c r="B705" s="8"/>
      <c r="C705" s="82" t="s">
        <v>597</v>
      </c>
      <c r="D705" s="284" t="s">
        <v>58</v>
      </c>
      <c r="E705" s="27" t="s">
        <v>35</v>
      </c>
      <c r="F705" s="76">
        <v>1</v>
      </c>
      <c r="G705" s="29">
        <v>1065100</v>
      </c>
      <c r="H705" s="50">
        <v>1</v>
      </c>
      <c r="I705" s="51">
        <v>1</v>
      </c>
      <c r="J705" s="224">
        <f t="shared" si="91"/>
        <v>1065000</v>
      </c>
      <c r="K705" s="32">
        <f t="shared" si="92"/>
        <v>1065000</v>
      </c>
      <c r="L705" s="261">
        <f t="shared" si="88"/>
        <v>0</v>
      </c>
      <c r="M705" s="14"/>
    </row>
    <row r="706" spans="1:13" ht="61.5" customHeight="1" x14ac:dyDescent="0.3">
      <c r="A706" s="69"/>
      <c r="B706" s="8"/>
      <c r="C706" s="82" t="s">
        <v>598</v>
      </c>
      <c r="D706" s="272" t="s">
        <v>33</v>
      </c>
      <c r="E706" s="27" t="s">
        <v>23</v>
      </c>
      <c r="F706" s="89">
        <f>(5.2*0.3)*4</f>
        <v>6.24</v>
      </c>
      <c r="G706" s="29">
        <v>453000</v>
      </c>
      <c r="H706" s="45">
        <v>0.8</v>
      </c>
      <c r="I706" s="31">
        <v>1.1479999999999999</v>
      </c>
      <c r="J706" s="223">
        <f t="shared" si="91"/>
        <v>2596000</v>
      </c>
      <c r="K706" s="32">
        <f t="shared" si="92"/>
        <v>2596000</v>
      </c>
      <c r="L706" s="261">
        <f t="shared" si="88"/>
        <v>0</v>
      </c>
      <c r="M706" s="14"/>
    </row>
    <row r="707" spans="1:13" ht="61.5" customHeight="1" x14ac:dyDescent="0.3">
      <c r="A707" s="69"/>
      <c r="B707" s="8"/>
      <c r="C707" s="82" t="s">
        <v>599</v>
      </c>
      <c r="D707" s="276" t="s">
        <v>41</v>
      </c>
      <c r="E707" s="59" t="s">
        <v>42</v>
      </c>
      <c r="F707" s="98">
        <v>5</v>
      </c>
      <c r="G707" s="11">
        <v>31950</v>
      </c>
      <c r="H707" s="60">
        <v>1</v>
      </c>
      <c r="I707" s="61">
        <v>1</v>
      </c>
      <c r="J707" s="223">
        <f t="shared" si="91"/>
        <v>160000</v>
      </c>
      <c r="K707" s="32">
        <f t="shared" si="92"/>
        <v>160000</v>
      </c>
      <c r="L707" s="261">
        <f t="shared" si="88"/>
        <v>0</v>
      </c>
      <c r="M707" s="14"/>
    </row>
    <row r="708" spans="1:13" ht="61.5" customHeight="1" x14ac:dyDescent="0.3">
      <c r="A708" s="69"/>
      <c r="B708" s="8"/>
      <c r="C708" s="82" t="s">
        <v>600</v>
      </c>
      <c r="D708" s="276" t="s">
        <v>41</v>
      </c>
      <c r="E708" s="59" t="s">
        <v>42</v>
      </c>
      <c r="F708" s="98">
        <v>12</v>
      </c>
      <c r="G708" s="11">
        <v>10650</v>
      </c>
      <c r="H708" s="60">
        <v>1</v>
      </c>
      <c r="I708" s="61">
        <v>1</v>
      </c>
      <c r="J708" s="223">
        <f t="shared" si="91"/>
        <v>128000</v>
      </c>
      <c r="K708" s="32">
        <f t="shared" si="92"/>
        <v>128000</v>
      </c>
      <c r="L708" s="261">
        <f t="shared" si="88"/>
        <v>0</v>
      </c>
      <c r="M708" s="14"/>
    </row>
    <row r="709" spans="1:13" ht="61.5" customHeight="1" x14ac:dyDescent="0.3">
      <c r="A709" s="69"/>
      <c r="B709" s="8"/>
      <c r="C709" s="82" t="s">
        <v>601</v>
      </c>
      <c r="D709" s="276" t="s">
        <v>41</v>
      </c>
      <c r="E709" s="59" t="s">
        <v>42</v>
      </c>
      <c r="F709" s="98">
        <v>20</v>
      </c>
      <c r="G709" s="11">
        <v>5330</v>
      </c>
      <c r="H709" s="60">
        <v>1</v>
      </c>
      <c r="I709" s="61">
        <v>1</v>
      </c>
      <c r="J709" s="223">
        <f t="shared" si="91"/>
        <v>107000</v>
      </c>
      <c r="K709" s="32">
        <f t="shared" si="92"/>
        <v>107000</v>
      </c>
      <c r="L709" s="261">
        <f t="shared" si="88"/>
        <v>0</v>
      </c>
      <c r="M709" s="14"/>
    </row>
    <row r="710" spans="1:13" ht="61.5" customHeight="1" x14ac:dyDescent="0.3">
      <c r="A710" s="69"/>
      <c r="B710" s="8"/>
      <c r="C710" s="82" t="s">
        <v>602</v>
      </c>
      <c r="D710" s="270" t="s">
        <v>31</v>
      </c>
      <c r="E710" s="27" t="s">
        <v>23</v>
      </c>
      <c r="F710" s="75">
        <f>6.7*5.7</f>
        <v>38.190000000000005</v>
      </c>
      <c r="G710" s="29">
        <v>339000</v>
      </c>
      <c r="H710" s="45">
        <v>0.8</v>
      </c>
      <c r="I710" s="31">
        <v>1.1479999999999999</v>
      </c>
      <c r="J710" s="223">
        <f t="shared" si="91"/>
        <v>11890000</v>
      </c>
      <c r="K710" s="32">
        <f t="shared" si="92"/>
        <v>11890000</v>
      </c>
      <c r="L710" s="261">
        <f t="shared" si="88"/>
        <v>0</v>
      </c>
      <c r="M710" s="14"/>
    </row>
    <row r="711" spans="1:13" ht="61.5" customHeight="1" x14ac:dyDescent="0.3">
      <c r="A711" s="69"/>
      <c r="B711" s="8"/>
      <c r="C711" s="82" t="s">
        <v>1114</v>
      </c>
      <c r="D711" s="271" t="s">
        <v>309</v>
      </c>
      <c r="E711" s="27" t="s">
        <v>23</v>
      </c>
      <c r="F711" s="72">
        <f>3.4*0.5</f>
        <v>1.7</v>
      </c>
      <c r="G711" s="29">
        <v>1566000</v>
      </c>
      <c r="H711" s="45">
        <v>0.8</v>
      </c>
      <c r="I711" s="159">
        <v>1.1479999999999999</v>
      </c>
      <c r="J711" s="223">
        <f t="shared" si="91"/>
        <v>2445000</v>
      </c>
      <c r="K711" s="32">
        <f t="shared" si="92"/>
        <v>2445000</v>
      </c>
      <c r="L711" s="261">
        <f t="shared" si="88"/>
        <v>0</v>
      </c>
      <c r="M711" s="14"/>
    </row>
    <row r="712" spans="1:13" ht="61.5" customHeight="1" x14ac:dyDescent="0.3">
      <c r="A712" s="69"/>
      <c r="B712" s="8"/>
      <c r="C712" s="82" t="s">
        <v>603</v>
      </c>
      <c r="D712" s="267" t="s">
        <v>24</v>
      </c>
      <c r="E712" s="27" t="s">
        <v>25</v>
      </c>
      <c r="F712" s="72">
        <f>(0.35*0.35*2.5)*5</f>
        <v>1.5312499999999998</v>
      </c>
      <c r="G712" s="29">
        <v>2828000</v>
      </c>
      <c r="H712" s="45">
        <v>0.8</v>
      </c>
      <c r="I712" s="31">
        <v>1.1479999999999999</v>
      </c>
      <c r="J712" s="223">
        <f t="shared" si="91"/>
        <v>3977000</v>
      </c>
      <c r="K712" s="32">
        <f t="shared" si="92"/>
        <v>3977000</v>
      </c>
      <c r="L712" s="261">
        <f t="shared" si="88"/>
        <v>0</v>
      </c>
      <c r="M712" s="14"/>
    </row>
    <row r="713" spans="1:13" ht="61.5" customHeight="1" x14ac:dyDescent="0.3">
      <c r="A713" s="69"/>
      <c r="B713" s="8"/>
      <c r="C713" s="82" t="s">
        <v>604</v>
      </c>
      <c r="D713" s="271" t="s">
        <v>32</v>
      </c>
      <c r="E713" s="27" t="s">
        <v>23</v>
      </c>
      <c r="F713" s="72">
        <f>6.7*10.1</f>
        <v>67.67</v>
      </c>
      <c r="G713" s="29">
        <v>215000</v>
      </c>
      <c r="H713" s="45">
        <v>0.8</v>
      </c>
      <c r="I713" s="31">
        <v>1.1479999999999999</v>
      </c>
      <c r="J713" s="223">
        <f t="shared" si="91"/>
        <v>13362000</v>
      </c>
      <c r="K713" s="32">
        <f t="shared" si="92"/>
        <v>13362000</v>
      </c>
      <c r="L713" s="261">
        <f t="shared" si="88"/>
        <v>0</v>
      </c>
      <c r="M713" s="14"/>
    </row>
    <row r="714" spans="1:13" ht="61.5" customHeight="1" x14ac:dyDescent="0.3">
      <c r="A714" s="69"/>
      <c r="B714" s="8"/>
      <c r="C714" s="82" t="s">
        <v>605</v>
      </c>
      <c r="D714" s="270" t="s">
        <v>28</v>
      </c>
      <c r="E714" s="27" t="s">
        <v>23</v>
      </c>
      <c r="F714" s="72">
        <f>1.1*3.4</f>
        <v>3.74</v>
      </c>
      <c r="G714" s="11">
        <v>396000</v>
      </c>
      <c r="H714" s="45">
        <v>0.8</v>
      </c>
      <c r="I714" s="31">
        <v>1.1479999999999999</v>
      </c>
      <c r="J714" s="223">
        <f t="shared" si="91"/>
        <v>1360000</v>
      </c>
      <c r="K714" s="32">
        <f t="shared" si="92"/>
        <v>1360000</v>
      </c>
      <c r="L714" s="261">
        <f t="shared" si="88"/>
        <v>0</v>
      </c>
      <c r="M714" s="14"/>
    </row>
    <row r="715" spans="1:13" ht="61.5" customHeight="1" x14ac:dyDescent="0.3">
      <c r="A715" s="69"/>
      <c r="B715" s="8"/>
      <c r="C715" s="82" t="s">
        <v>606</v>
      </c>
      <c r="D715" s="192" t="s">
        <v>58</v>
      </c>
      <c r="E715" s="27" t="s">
        <v>35</v>
      </c>
      <c r="F715" s="196">
        <v>3</v>
      </c>
      <c r="G715" s="198">
        <v>532550</v>
      </c>
      <c r="H715" s="50">
        <v>1</v>
      </c>
      <c r="I715" s="51">
        <v>1</v>
      </c>
      <c r="J715" s="223">
        <f t="shared" si="91"/>
        <v>1598000</v>
      </c>
      <c r="K715" s="32">
        <f t="shared" si="92"/>
        <v>1598000</v>
      </c>
      <c r="L715" s="261">
        <f t="shared" si="88"/>
        <v>0</v>
      </c>
      <c r="M715" s="14"/>
    </row>
    <row r="716" spans="1:13" ht="61.5" customHeight="1" x14ac:dyDescent="0.3">
      <c r="A716" s="69"/>
      <c r="B716" s="8"/>
      <c r="C716" s="82" t="s">
        <v>607</v>
      </c>
      <c r="D716" s="192" t="s">
        <v>58</v>
      </c>
      <c r="E716" s="27" t="s">
        <v>35</v>
      </c>
      <c r="F716" s="196">
        <v>1</v>
      </c>
      <c r="G716" s="29">
        <v>532550</v>
      </c>
      <c r="H716" s="50">
        <v>1</v>
      </c>
      <c r="I716" s="51">
        <v>1</v>
      </c>
      <c r="J716" s="223">
        <f t="shared" si="91"/>
        <v>533000</v>
      </c>
      <c r="K716" s="32">
        <f t="shared" si="92"/>
        <v>533000</v>
      </c>
      <c r="L716" s="261">
        <f t="shared" si="88"/>
        <v>0</v>
      </c>
      <c r="M716" s="14"/>
    </row>
    <row r="717" spans="1:13" ht="61.5" customHeight="1" x14ac:dyDescent="0.3">
      <c r="A717" s="69"/>
      <c r="B717" s="8"/>
      <c r="C717" s="82" t="s">
        <v>608</v>
      </c>
      <c r="D717" s="267" t="s">
        <v>36</v>
      </c>
      <c r="E717" s="27" t="s">
        <v>35</v>
      </c>
      <c r="F717" s="98">
        <v>1</v>
      </c>
      <c r="G717" s="49">
        <v>213020</v>
      </c>
      <c r="H717" s="52">
        <v>1</v>
      </c>
      <c r="I717" s="53">
        <v>1</v>
      </c>
      <c r="J717" s="223">
        <f t="shared" si="91"/>
        <v>213000</v>
      </c>
      <c r="K717" s="32">
        <f t="shared" si="92"/>
        <v>213000</v>
      </c>
      <c r="L717" s="261">
        <f t="shared" si="88"/>
        <v>0</v>
      </c>
      <c r="M717" s="158"/>
    </row>
    <row r="718" spans="1:13" ht="61.5" customHeight="1" x14ac:dyDescent="0.3">
      <c r="A718" s="69"/>
      <c r="B718" s="8"/>
      <c r="C718" s="82" t="s">
        <v>609</v>
      </c>
      <c r="D718" s="267" t="s">
        <v>89</v>
      </c>
      <c r="E718" s="71" t="s">
        <v>23</v>
      </c>
      <c r="F718" s="72">
        <f>6*1.8</f>
        <v>10.8</v>
      </c>
      <c r="G718" s="29">
        <v>11000</v>
      </c>
      <c r="H718" s="45">
        <v>0.8</v>
      </c>
      <c r="I718" s="31">
        <v>1.1479999999999999</v>
      </c>
      <c r="J718" s="223">
        <f t="shared" si="91"/>
        <v>109000</v>
      </c>
      <c r="K718" s="32">
        <f t="shared" si="92"/>
        <v>109000</v>
      </c>
      <c r="L718" s="261">
        <f t="shared" si="88"/>
        <v>0</v>
      </c>
      <c r="M718" s="14"/>
    </row>
    <row r="719" spans="1:13" ht="61.5" customHeight="1" x14ac:dyDescent="0.3">
      <c r="A719" s="69"/>
      <c r="B719" s="8"/>
      <c r="C719" s="82" t="s">
        <v>610</v>
      </c>
      <c r="D719" s="270" t="s">
        <v>51</v>
      </c>
      <c r="E719" s="27" t="s">
        <v>23</v>
      </c>
      <c r="F719" s="72">
        <f>3*2</f>
        <v>6</v>
      </c>
      <c r="G719" s="29">
        <v>453000</v>
      </c>
      <c r="H719" s="45">
        <v>0.8</v>
      </c>
      <c r="I719" s="31">
        <v>1.1479999999999999</v>
      </c>
      <c r="J719" s="223">
        <f t="shared" si="91"/>
        <v>2496000</v>
      </c>
      <c r="K719" s="32">
        <f t="shared" si="92"/>
        <v>2496000</v>
      </c>
      <c r="L719" s="261">
        <f t="shared" si="88"/>
        <v>0</v>
      </c>
      <c r="M719" s="14"/>
    </row>
    <row r="720" spans="1:13" ht="61.5" customHeight="1" x14ac:dyDescent="0.3">
      <c r="A720" s="69"/>
      <c r="B720" s="8"/>
      <c r="C720" s="82" t="s">
        <v>43</v>
      </c>
      <c r="D720" s="273" t="s">
        <v>44</v>
      </c>
      <c r="E720" s="63" t="s">
        <v>45</v>
      </c>
      <c r="F720" s="77">
        <v>6</v>
      </c>
      <c r="G720" s="46">
        <v>28000</v>
      </c>
      <c r="H720" s="45">
        <v>0.8</v>
      </c>
      <c r="I720" s="31">
        <v>1.1479999999999999</v>
      </c>
      <c r="J720" s="223">
        <f t="shared" si="91"/>
        <v>154000</v>
      </c>
      <c r="K720" s="32">
        <f t="shared" si="92"/>
        <v>154000</v>
      </c>
      <c r="L720" s="261">
        <f t="shared" si="88"/>
        <v>0</v>
      </c>
      <c r="M720" s="14"/>
    </row>
    <row r="721" spans="1:13" ht="61.5" customHeight="1" x14ac:dyDescent="0.3">
      <c r="A721" s="69"/>
      <c r="B721" s="8"/>
      <c r="C721" s="82" t="s">
        <v>46</v>
      </c>
      <c r="D721" s="271" t="s">
        <v>47</v>
      </c>
      <c r="E721" s="63" t="s">
        <v>45</v>
      </c>
      <c r="F721" s="77">
        <v>6</v>
      </c>
      <c r="G721" s="46">
        <v>28000</v>
      </c>
      <c r="H721" s="45">
        <v>0.8</v>
      </c>
      <c r="I721" s="31">
        <v>1.1479999999999999</v>
      </c>
      <c r="J721" s="223">
        <f t="shared" si="91"/>
        <v>154000</v>
      </c>
      <c r="K721" s="32">
        <f t="shared" si="92"/>
        <v>154000</v>
      </c>
      <c r="L721" s="261">
        <f t="shared" si="88"/>
        <v>0</v>
      </c>
      <c r="M721" s="14"/>
    </row>
    <row r="722" spans="1:13" ht="84.75" customHeight="1" x14ac:dyDescent="0.3">
      <c r="A722" s="266">
        <v>34</v>
      </c>
      <c r="B722" s="150" t="s">
        <v>612</v>
      </c>
      <c r="C722" s="455" t="s">
        <v>1058</v>
      </c>
      <c r="D722" s="456"/>
      <c r="E722" s="456"/>
      <c r="F722" s="456"/>
      <c r="G722" s="456"/>
      <c r="H722" s="456"/>
      <c r="I722" s="457"/>
      <c r="J722" s="221">
        <f>SUM(J723)</f>
        <v>0</v>
      </c>
      <c r="K722" s="32">
        <f>ROUND(G722*H722*I722*F722,-3)</f>
        <v>0</v>
      </c>
      <c r="L722" s="261">
        <f t="shared" si="88"/>
        <v>0</v>
      </c>
      <c r="M722" s="24"/>
    </row>
    <row r="723" spans="1:13" ht="90" customHeight="1" x14ac:dyDescent="0.3">
      <c r="A723" s="67"/>
      <c r="B723" s="68"/>
      <c r="C723" s="20" t="s">
        <v>1061</v>
      </c>
      <c r="D723" s="267"/>
      <c r="E723" s="27" t="s">
        <v>23</v>
      </c>
      <c r="F723" s="35">
        <f>23.4+23.1+23.3</f>
        <v>69.8</v>
      </c>
      <c r="G723" s="464" t="s">
        <v>1115</v>
      </c>
      <c r="H723" s="464"/>
      <c r="I723" s="465"/>
      <c r="J723" s="227"/>
      <c r="K723" s="32"/>
      <c r="L723" s="261">
        <f t="shared" si="88"/>
        <v>0</v>
      </c>
      <c r="M723" s="14"/>
    </row>
    <row r="724" spans="1:13" ht="80.25" customHeight="1" x14ac:dyDescent="0.3">
      <c r="A724" s="149">
        <v>35</v>
      </c>
      <c r="B724" s="150" t="s">
        <v>612</v>
      </c>
      <c r="C724" s="455" t="s">
        <v>1059</v>
      </c>
      <c r="D724" s="456"/>
      <c r="E724" s="456"/>
      <c r="F724" s="456"/>
      <c r="G724" s="456"/>
      <c r="H724" s="456"/>
      <c r="I724" s="457"/>
      <c r="J724" s="221">
        <f>SUM(J725:J743)</f>
        <v>167026000</v>
      </c>
      <c r="K724" s="32">
        <f t="shared" ref="K724:K744" si="93">ROUND(G724*H724*I724*F724,-3)</f>
        <v>0</v>
      </c>
      <c r="L724" s="261">
        <f t="shared" si="88"/>
        <v>167026000</v>
      </c>
      <c r="M724" s="24"/>
    </row>
    <row r="725" spans="1:13" ht="61.5" customHeight="1" x14ac:dyDescent="0.3">
      <c r="A725" s="69"/>
      <c r="B725" s="8"/>
      <c r="C725" s="470" t="s">
        <v>1060</v>
      </c>
      <c r="D725" s="471"/>
      <c r="E725" s="471"/>
      <c r="F725" s="472"/>
      <c r="G725" s="471"/>
      <c r="H725" s="471"/>
      <c r="I725" s="473"/>
      <c r="J725" s="223"/>
      <c r="K725" s="32">
        <f t="shared" si="93"/>
        <v>0</v>
      </c>
      <c r="L725" s="261">
        <f t="shared" si="88"/>
        <v>0</v>
      </c>
      <c r="M725" s="14"/>
    </row>
    <row r="726" spans="1:13" ht="61.5" customHeight="1" x14ac:dyDescent="0.3">
      <c r="A726" s="69"/>
      <c r="B726" s="8"/>
      <c r="C726" s="82" t="s">
        <v>841</v>
      </c>
      <c r="D726" s="270" t="s">
        <v>51</v>
      </c>
      <c r="E726" s="27" t="s">
        <v>23</v>
      </c>
      <c r="F726" s="72">
        <f>12.3*9.5</f>
        <v>116.85000000000001</v>
      </c>
      <c r="G726" s="29">
        <v>453000</v>
      </c>
      <c r="H726" s="45">
        <v>0.8</v>
      </c>
      <c r="I726" s="31">
        <v>1.1479999999999999</v>
      </c>
      <c r="J726" s="223">
        <f t="shared" ref="J726:J743" si="94">ROUND(F726*G726*H726*I726,-3)</f>
        <v>48614000</v>
      </c>
      <c r="K726" s="32">
        <f t="shared" si="93"/>
        <v>48614000</v>
      </c>
      <c r="L726" s="261">
        <f t="shared" si="88"/>
        <v>0</v>
      </c>
      <c r="M726" s="14"/>
    </row>
    <row r="727" spans="1:13" ht="61.5" customHeight="1" x14ac:dyDescent="0.3">
      <c r="A727" s="69"/>
      <c r="B727" s="8"/>
      <c r="C727" s="82" t="s">
        <v>613</v>
      </c>
      <c r="D727" s="271" t="s">
        <v>32</v>
      </c>
      <c r="E727" s="27" t="s">
        <v>23</v>
      </c>
      <c r="F727" s="72">
        <f>5.25*12</f>
        <v>63</v>
      </c>
      <c r="G727" s="29">
        <v>215000</v>
      </c>
      <c r="H727" s="45">
        <v>0.8</v>
      </c>
      <c r="I727" s="31">
        <v>1.1479999999999999</v>
      </c>
      <c r="J727" s="223">
        <f t="shared" si="94"/>
        <v>12440000</v>
      </c>
      <c r="K727" s="32">
        <f t="shared" si="93"/>
        <v>12440000</v>
      </c>
      <c r="L727" s="261">
        <f t="shared" si="88"/>
        <v>0</v>
      </c>
      <c r="M727" s="14"/>
    </row>
    <row r="728" spans="1:13" ht="61.5" customHeight="1" x14ac:dyDescent="0.3">
      <c r="A728" s="69"/>
      <c r="B728" s="8"/>
      <c r="C728" s="82" t="s">
        <v>614</v>
      </c>
      <c r="D728" s="270" t="s">
        <v>52</v>
      </c>
      <c r="E728" s="71" t="s">
        <v>23</v>
      </c>
      <c r="F728" s="72">
        <f>7.5*12.8</f>
        <v>96</v>
      </c>
      <c r="G728" s="11" t="s">
        <v>53</v>
      </c>
      <c r="H728" s="45">
        <v>0.8</v>
      </c>
      <c r="I728" s="31">
        <v>1.1479999999999999</v>
      </c>
      <c r="J728" s="223">
        <f t="shared" si="94"/>
        <v>20807000</v>
      </c>
      <c r="K728" s="32">
        <f t="shared" si="93"/>
        <v>20807000</v>
      </c>
      <c r="L728" s="261">
        <f t="shared" ref="L728:L781" si="95">J728-K728</f>
        <v>0</v>
      </c>
      <c r="M728" s="14"/>
    </row>
    <row r="729" spans="1:13" ht="61.5" customHeight="1" x14ac:dyDescent="0.3">
      <c r="A729" s="69"/>
      <c r="B729" s="8"/>
      <c r="C729" s="82" t="s">
        <v>615</v>
      </c>
      <c r="D729" s="270" t="s">
        <v>52</v>
      </c>
      <c r="E729" s="27" t="s">
        <v>23</v>
      </c>
      <c r="F729" s="72">
        <f>(7.5*4.2)*2+0.5*12.3</f>
        <v>69.150000000000006</v>
      </c>
      <c r="G729" s="11" t="s">
        <v>53</v>
      </c>
      <c r="H729" s="45">
        <v>0.8</v>
      </c>
      <c r="I729" s="79">
        <v>1.1479999999999999</v>
      </c>
      <c r="J729" s="223">
        <f t="shared" si="94"/>
        <v>14988000</v>
      </c>
      <c r="K729" s="32">
        <f t="shared" si="93"/>
        <v>14988000</v>
      </c>
      <c r="L729" s="261">
        <f t="shared" si="95"/>
        <v>0</v>
      </c>
      <c r="M729" s="14"/>
    </row>
    <row r="730" spans="1:13" ht="61.5" customHeight="1" x14ac:dyDescent="0.3">
      <c r="A730" s="69"/>
      <c r="B730" s="8"/>
      <c r="C730" s="82" t="s">
        <v>616</v>
      </c>
      <c r="D730" s="267" t="s">
        <v>56</v>
      </c>
      <c r="E730" s="27" t="s">
        <v>23</v>
      </c>
      <c r="F730" s="72">
        <f>11.5*4.2</f>
        <v>48.300000000000004</v>
      </c>
      <c r="G730" s="29">
        <v>735000</v>
      </c>
      <c r="H730" s="45">
        <v>0.8</v>
      </c>
      <c r="I730" s="31">
        <v>1.1479999999999999</v>
      </c>
      <c r="J730" s="223">
        <f t="shared" si="94"/>
        <v>32604000</v>
      </c>
      <c r="K730" s="32">
        <f t="shared" si="93"/>
        <v>32604000</v>
      </c>
      <c r="L730" s="261">
        <f t="shared" si="95"/>
        <v>0</v>
      </c>
      <c r="M730" s="14"/>
    </row>
    <row r="731" spans="1:13" ht="61.5" customHeight="1" x14ac:dyDescent="0.3">
      <c r="A731" s="69"/>
      <c r="B731" s="8"/>
      <c r="C731" s="82" t="s">
        <v>617</v>
      </c>
      <c r="D731" s="271" t="s">
        <v>32</v>
      </c>
      <c r="E731" s="27" t="s">
        <v>23</v>
      </c>
      <c r="F731" s="72">
        <f>12.3*6.8</f>
        <v>83.64</v>
      </c>
      <c r="G731" s="29">
        <v>215000</v>
      </c>
      <c r="H731" s="45">
        <v>0.8</v>
      </c>
      <c r="I731" s="31">
        <v>1.1479999999999999</v>
      </c>
      <c r="J731" s="223">
        <f t="shared" si="94"/>
        <v>16515000</v>
      </c>
      <c r="K731" s="32">
        <f t="shared" si="93"/>
        <v>16515000</v>
      </c>
      <c r="L731" s="261">
        <f t="shared" si="95"/>
        <v>0</v>
      </c>
      <c r="M731" s="14"/>
    </row>
    <row r="732" spans="1:13" ht="61.5" customHeight="1" x14ac:dyDescent="0.3">
      <c r="A732" s="69"/>
      <c r="B732" s="8"/>
      <c r="C732" s="82" t="s">
        <v>618</v>
      </c>
      <c r="D732" s="271" t="s">
        <v>54</v>
      </c>
      <c r="E732" s="27" t="s">
        <v>23</v>
      </c>
      <c r="F732" s="72">
        <f>(1*2.5)*2+(0.6*2.5)*2+8.4*1.2+3.8*0.6</f>
        <v>20.36</v>
      </c>
      <c r="G732" s="46">
        <v>213000</v>
      </c>
      <c r="H732" s="45">
        <v>0.8</v>
      </c>
      <c r="I732" s="31">
        <v>1.1479999999999999</v>
      </c>
      <c r="J732" s="223">
        <f t="shared" si="94"/>
        <v>3983000</v>
      </c>
      <c r="K732" s="32">
        <f t="shared" si="93"/>
        <v>3983000</v>
      </c>
      <c r="L732" s="261">
        <f t="shared" si="95"/>
        <v>0</v>
      </c>
      <c r="M732" s="14"/>
    </row>
    <row r="733" spans="1:13" ht="61.5" customHeight="1" x14ac:dyDescent="0.3">
      <c r="A733" s="69"/>
      <c r="B733" s="8"/>
      <c r="C733" s="82" t="s">
        <v>619</v>
      </c>
      <c r="D733" s="192" t="s">
        <v>58</v>
      </c>
      <c r="E733" s="27" t="s">
        <v>35</v>
      </c>
      <c r="F733" s="98">
        <v>1</v>
      </c>
      <c r="G733" s="29">
        <v>1065100</v>
      </c>
      <c r="H733" s="50">
        <v>1</v>
      </c>
      <c r="I733" s="51">
        <v>1</v>
      </c>
      <c r="J733" s="223">
        <f t="shared" si="94"/>
        <v>1065000</v>
      </c>
      <c r="K733" s="32">
        <f t="shared" si="93"/>
        <v>1065000</v>
      </c>
      <c r="L733" s="261">
        <f t="shared" si="95"/>
        <v>0</v>
      </c>
      <c r="M733" s="14"/>
    </row>
    <row r="734" spans="1:13" ht="61.5" customHeight="1" x14ac:dyDescent="0.3">
      <c r="A734" s="69"/>
      <c r="B734" s="8"/>
      <c r="C734" s="82" t="s">
        <v>620</v>
      </c>
      <c r="D734" s="284" t="s">
        <v>104</v>
      </c>
      <c r="E734" s="197" t="s">
        <v>35</v>
      </c>
      <c r="F734" s="195">
        <v>1</v>
      </c>
      <c r="G734" s="29">
        <v>151240</v>
      </c>
      <c r="H734" s="50">
        <v>1</v>
      </c>
      <c r="I734" s="51">
        <v>1</v>
      </c>
      <c r="J734" s="223">
        <f t="shared" si="94"/>
        <v>151000</v>
      </c>
      <c r="K734" s="32">
        <f t="shared" si="93"/>
        <v>151000</v>
      </c>
      <c r="L734" s="261">
        <f t="shared" si="95"/>
        <v>0</v>
      </c>
      <c r="M734" s="14"/>
    </row>
    <row r="735" spans="1:13" ht="61.5" customHeight="1" x14ac:dyDescent="0.3">
      <c r="A735" s="69"/>
      <c r="B735" s="8"/>
      <c r="C735" s="82" t="s">
        <v>621</v>
      </c>
      <c r="D735" s="270" t="s">
        <v>29</v>
      </c>
      <c r="E735" s="27" t="s">
        <v>23</v>
      </c>
      <c r="F735" s="72">
        <f>7.1*0.9</f>
        <v>6.39</v>
      </c>
      <c r="G735" s="29">
        <v>792000</v>
      </c>
      <c r="H735" s="45">
        <v>0.8</v>
      </c>
      <c r="I735" s="31">
        <v>1.1479999999999999</v>
      </c>
      <c r="J735" s="223">
        <f t="shared" si="94"/>
        <v>4648000</v>
      </c>
      <c r="K735" s="32">
        <f t="shared" si="93"/>
        <v>4648000</v>
      </c>
      <c r="L735" s="261">
        <f t="shared" si="95"/>
        <v>0</v>
      </c>
      <c r="M735" s="14"/>
    </row>
    <row r="736" spans="1:13" ht="61.5" customHeight="1" x14ac:dyDescent="0.3">
      <c r="A736" s="69"/>
      <c r="B736" s="8"/>
      <c r="C736" s="82" t="s">
        <v>622</v>
      </c>
      <c r="D736" s="270" t="s">
        <v>52</v>
      </c>
      <c r="E736" s="27" t="s">
        <v>23</v>
      </c>
      <c r="F736" s="72">
        <f>8.4*2.1</f>
        <v>17.64</v>
      </c>
      <c r="G736" s="46">
        <v>213000</v>
      </c>
      <c r="H736" s="45">
        <v>0.8</v>
      </c>
      <c r="I736" s="31">
        <v>1.1479999999999999</v>
      </c>
      <c r="J736" s="223">
        <f t="shared" si="94"/>
        <v>3451000</v>
      </c>
      <c r="K736" s="32">
        <f t="shared" si="93"/>
        <v>3451000</v>
      </c>
      <c r="L736" s="261">
        <f t="shared" si="95"/>
        <v>0</v>
      </c>
      <c r="M736" s="14"/>
    </row>
    <row r="737" spans="1:13" ht="61.5" customHeight="1" x14ac:dyDescent="0.3">
      <c r="A737" s="69"/>
      <c r="B737" s="8"/>
      <c r="C737" s="82" t="s">
        <v>623</v>
      </c>
      <c r="D737" s="270" t="s">
        <v>52</v>
      </c>
      <c r="E737" s="27" t="s">
        <v>23</v>
      </c>
      <c r="F737" s="72">
        <f>3*12</f>
        <v>36</v>
      </c>
      <c r="G737" s="46">
        <v>213000</v>
      </c>
      <c r="H737" s="45">
        <v>0.8</v>
      </c>
      <c r="I737" s="31">
        <v>1.1479999999999999</v>
      </c>
      <c r="J737" s="223">
        <f t="shared" si="94"/>
        <v>7042000</v>
      </c>
      <c r="K737" s="32">
        <f t="shared" si="93"/>
        <v>7042000</v>
      </c>
      <c r="L737" s="261">
        <f t="shared" si="95"/>
        <v>0</v>
      </c>
      <c r="M737" s="14"/>
    </row>
    <row r="738" spans="1:13" ht="61.5" customHeight="1" x14ac:dyDescent="0.3">
      <c r="A738" s="69"/>
      <c r="B738" s="8"/>
      <c r="C738" s="82" t="s">
        <v>624</v>
      </c>
      <c r="D738" s="283" t="s">
        <v>105</v>
      </c>
      <c r="E738" s="27" t="s">
        <v>35</v>
      </c>
      <c r="F738" s="98">
        <v>1</v>
      </c>
      <c r="G738" s="115">
        <v>300360</v>
      </c>
      <c r="H738" s="50">
        <v>1</v>
      </c>
      <c r="I738" s="51">
        <v>1</v>
      </c>
      <c r="J738" s="223">
        <f t="shared" si="94"/>
        <v>300000</v>
      </c>
      <c r="K738" s="32">
        <f t="shared" si="93"/>
        <v>300000</v>
      </c>
      <c r="L738" s="261">
        <f t="shared" si="95"/>
        <v>0</v>
      </c>
      <c r="M738" s="14"/>
    </row>
    <row r="739" spans="1:13" ht="61.5" customHeight="1" x14ac:dyDescent="0.3">
      <c r="A739" s="69"/>
      <c r="B739" s="8"/>
      <c r="C739" s="82" t="s">
        <v>611</v>
      </c>
      <c r="D739" s="276" t="s">
        <v>41</v>
      </c>
      <c r="E739" s="59" t="s">
        <v>42</v>
      </c>
      <c r="F739" s="98">
        <v>2</v>
      </c>
      <c r="G739" s="11">
        <v>31950</v>
      </c>
      <c r="H739" s="60">
        <v>1</v>
      </c>
      <c r="I739" s="61">
        <v>1</v>
      </c>
      <c r="J739" s="223">
        <f t="shared" si="94"/>
        <v>64000</v>
      </c>
      <c r="K739" s="32">
        <f t="shared" si="93"/>
        <v>64000</v>
      </c>
      <c r="L739" s="261">
        <f t="shared" si="95"/>
        <v>0</v>
      </c>
      <c r="M739" s="14"/>
    </row>
    <row r="740" spans="1:13" ht="61.5" customHeight="1" x14ac:dyDescent="0.3">
      <c r="A740" s="69"/>
      <c r="B740" s="8"/>
      <c r="C740" s="82" t="s">
        <v>625</v>
      </c>
      <c r="D740" s="276" t="s">
        <v>41</v>
      </c>
      <c r="E740" s="59" t="s">
        <v>42</v>
      </c>
      <c r="F740" s="98">
        <v>7</v>
      </c>
      <c r="G740" s="11">
        <v>10650</v>
      </c>
      <c r="H740" s="60">
        <v>1</v>
      </c>
      <c r="I740" s="61">
        <v>1</v>
      </c>
      <c r="J740" s="223">
        <f t="shared" si="94"/>
        <v>75000</v>
      </c>
      <c r="K740" s="32">
        <f t="shared" si="93"/>
        <v>75000</v>
      </c>
      <c r="L740" s="261">
        <f t="shared" si="95"/>
        <v>0</v>
      </c>
      <c r="M740" s="14"/>
    </row>
    <row r="741" spans="1:13" ht="61.5" customHeight="1" x14ac:dyDescent="0.3">
      <c r="A741" s="69"/>
      <c r="B741" s="8"/>
      <c r="C741" s="82" t="s">
        <v>72</v>
      </c>
      <c r="D741" s="271" t="s">
        <v>44</v>
      </c>
      <c r="E741" s="63" t="s">
        <v>45</v>
      </c>
      <c r="F741" s="77">
        <v>5</v>
      </c>
      <c r="G741" s="46">
        <v>28000</v>
      </c>
      <c r="H741" s="45">
        <v>0.8</v>
      </c>
      <c r="I741" s="31">
        <v>1.1479999999999999</v>
      </c>
      <c r="J741" s="223">
        <f t="shared" si="94"/>
        <v>129000</v>
      </c>
      <c r="K741" s="32">
        <f t="shared" si="93"/>
        <v>129000</v>
      </c>
      <c r="L741" s="261">
        <f t="shared" si="95"/>
        <v>0</v>
      </c>
      <c r="M741" s="14"/>
    </row>
    <row r="742" spans="1:13" ht="61.5" customHeight="1" x14ac:dyDescent="0.3">
      <c r="A742" s="69"/>
      <c r="B742" s="8"/>
      <c r="C742" s="82" t="s">
        <v>82</v>
      </c>
      <c r="D742" s="271" t="s">
        <v>47</v>
      </c>
      <c r="E742" s="63" t="s">
        <v>45</v>
      </c>
      <c r="F742" s="77">
        <v>5</v>
      </c>
      <c r="G742" s="46">
        <v>28000</v>
      </c>
      <c r="H742" s="45">
        <v>0.8</v>
      </c>
      <c r="I742" s="31">
        <v>1.1479999999999999</v>
      </c>
      <c r="J742" s="223">
        <f t="shared" si="94"/>
        <v>129000</v>
      </c>
      <c r="K742" s="32">
        <f t="shared" si="93"/>
        <v>129000</v>
      </c>
      <c r="L742" s="261">
        <f t="shared" si="95"/>
        <v>0</v>
      </c>
      <c r="M742" s="158"/>
    </row>
    <row r="743" spans="1:13" ht="61.5" customHeight="1" x14ac:dyDescent="0.3">
      <c r="A743" s="69"/>
      <c r="B743" s="8"/>
      <c r="C743" s="82" t="s">
        <v>626</v>
      </c>
      <c r="D743" s="192" t="s">
        <v>58</v>
      </c>
      <c r="E743" s="27" t="s">
        <v>35</v>
      </c>
      <c r="F743" s="196">
        <v>1</v>
      </c>
      <c r="G743" s="29">
        <v>21300</v>
      </c>
      <c r="H743" s="50">
        <v>1</v>
      </c>
      <c r="I743" s="51">
        <v>1</v>
      </c>
      <c r="J743" s="223">
        <f t="shared" si="94"/>
        <v>21000</v>
      </c>
      <c r="K743" s="32">
        <f t="shared" si="93"/>
        <v>21000</v>
      </c>
      <c r="L743" s="261">
        <f t="shared" si="95"/>
        <v>0</v>
      </c>
      <c r="M743" s="14"/>
    </row>
    <row r="744" spans="1:13" ht="61.5" customHeight="1" x14ac:dyDescent="0.3">
      <c r="A744" s="149">
        <v>36</v>
      </c>
      <c r="B744" s="150" t="s">
        <v>627</v>
      </c>
      <c r="C744" s="455" t="s">
        <v>628</v>
      </c>
      <c r="D744" s="456"/>
      <c r="E744" s="456"/>
      <c r="F744" s="456"/>
      <c r="G744" s="456"/>
      <c r="H744" s="456"/>
      <c r="I744" s="457"/>
      <c r="J744" s="221">
        <f>SUM(J745:J756)</f>
        <v>71985000</v>
      </c>
      <c r="K744" s="32">
        <f t="shared" si="93"/>
        <v>0</v>
      </c>
      <c r="L744" s="261">
        <f t="shared" si="95"/>
        <v>71985000</v>
      </c>
      <c r="M744" s="24"/>
    </row>
    <row r="745" spans="1:13" ht="90" customHeight="1" x14ac:dyDescent="0.3">
      <c r="A745" s="67"/>
      <c r="B745" s="68"/>
      <c r="C745" s="20" t="s">
        <v>629</v>
      </c>
      <c r="D745" s="267"/>
      <c r="E745" s="27" t="s">
        <v>23</v>
      </c>
      <c r="F745" s="35">
        <v>37.1</v>
      </c>
      <c r="G745" s="464" t="s">
        <v>1115</v>
      </c>
      <c r="H745" s="464"/>
      <c r="I745" s="465"/>
      <c r="J745" s="227"/>
      <c r="K745" s="32"/>
      <c r="L745" s="261">
        <f t="shared" si="95"/>
        <v>0</v>
      </c>
      <c r="M745" s="14"/>
    </row>
    <row r="746" spans="1:13" ht="61.5" customHeight="1" x14ac:dyDescent="0.3">
      <c r="A746" s="69"/>
      <c r="B746" s="8"/>
      <c r="C746" s="82" t="s">
        <v>630</v>
      </c>
      <c r="D746" s="269" t="s">
        <v>88</v>
      </c>
      <c r="E746" s="8" t="s">
        <v>25</v>
      </c>
      <c r="F746" s="72">
        <f>(0.55*0.55*2.4)*2</f>
        <v>1.4520000000000002</v>
      </c>
      <c r="G746" s="11">
        <v>2828000</v>
      </c>
      <c r="H746" s="45">
        <v>0.8</v>
      </c>
      <c r="I746" s="31">
        <v>1.1479999999999999</v>
      </c>
      <c r="J746" s="223">
        <f t="shared" ref="J746:J756" si="96">ROUND(F746*G746*H746*I746,-3)</f>
        <v>3771000</v>
      </c>
      <c r="K746" s="32">
        <f t="shared" ref="K746:K756" si="97">ROUND(G746*H746*I746*F746,-3)</f>
        <v>3771000</v>
      </c>
      <c r="L746" s="261">
        <f t="shared" si="95"/>
        <v>0</v>
      </c>
      <c r="M746" s="14"/>
    </row>
    <row r="747" spans="1:13" ht="61.5" customHeight="1" x14ac:dyDescent="0.3">
      <c r="A747" s="69"/>
      <c r="B747" s="8"/>
      <c r="C747" s="82" t="s">
        <v>631</v>
      </c>
      <c r="D747" s="271" t="s">
        <v>309</v>
      </c>
      <c r="E747" s="27" t="s">
        <v>23</v>
      </c>
      <c r="F747" s="72">
        <f>3.4*0.85</f>
        <v>2.8899999999999997</v>
      </c>
      <c r="G747" s="29">
        <v>1566000</v>
      </c>
      <c r="H747" s="45">
        <v>0.8</v>
      </c>
      <c r="I747" s="159">
        <v>1.1479999999999999</v>
      </c>
      <c r="J747" s="223">
        <f t="shared" si="96"/>
        <v>4156000</v>
      </c>
      <c r="K747" s="32">
        <f t="shared" si="97"/>
        <v>4156000</v>
      </c>
      <c r="L747" s="261">
        <f t="shared" si="95"/>
        <v>0</v>
      </c>
      <c r="M747" s="14"/>
    </row>
    <row r="748" spans="1:13" ht="61.5" customHeight="1" x14ac:dyDescent="0.3">
      <c r="A748" s="69"/>
      <c r="B748" s="8"/>
      <c r="C748" s="82" t="s">
        <v>632</v>
      </c>
      <c r="D748" s="270" t="s">
        <v>29</v>
      </c>
      <c r="E748" s="27" t="s">
        <v>23</v>
      </c>
      <c r="F748" s="72">
        <f>0.9*1.8+4.9*0.55</f>
        <v>4.3150000000000004</v>
      </c>
      <c r="G748" s="29">
        <v>792000</v>
      </c>
      <c r="H748" s="45">
        <v>0.8</v>
      </c>
      <c r="I748" s="31">
        <v>1.1479999999999999</v>
      </c>
      <c r="J748" s="223">
        <f t="shared" si="96"/>
        <v>3139000</v>
      </c>
      <c r="K748" s="32">
        <f t="shared" si="97"/>
        <v>3139000</v>
      </c>
      <c r="L748" s="261">
        <f t="shared" si="95"/>
        <v>0</v>
      </c>
      <c r="M748" s="14"/>
    </row>
    <row r="749" spans="1:13" ht="61.5" customHeight="1" x14ac:dyDescent="0.3">
      <c r="A749" s="69"/>
      <c r="B749" s="8"/>
      <c r="C749" s="82" t="s">
        <v>633</v>
      </c>
      <c r="D749" s="267" t="s">
        <v>89</v>
      </c>
      <c r="E749" s="71" t="s">
        <v>23</v>
      </c>
      <c r="F749" s="72">
        <f>0.9*1.2+4.9*1.2</f>
        <v>6.96</v>
      </c>
      <c r="G749" s="29">
        <v>11000</v>
      </c>
      <c r="H749" s="45">
        <v>0.8</v>
      </c>
      <c r="I749" s="31">
        <v>1.1479999999999999</v>
      </c>
      <c r="J749" s="223">
        <f t="shared" si="96"/>
        <v>70000</v>
      </c>
      <c r="K749" s="32">
        <f t="shared" si="97"/>
        <v>70000</v>
      </c>
      <c r="L749" s="261">
        <f t="shared" si="95"/>
        <v>0</v>
      </c>
      <c r="M749" s="14"/>
    </row>
    <row r="750" spans="1:13" ht="61.5" customHeight="1" x14ac:dyDescent="0.3">
      <c r="A750" s="69"/>
      <c r="B750" s="8"/>
      <c r="C750" s="82" t="s">
        <v>842</v>
      </c>
      <c r="D750" s="270" t="s">
        <v>51</v>
      </c>
      <c r="E750" s="27" t="s">
        <v>23</v>
      </c>
      <c r="F750" s="72">
        <f>3.8*3.6+2.8*2.6</f>
        <v>20.96</v>
      </c>
      <c r="G750" s="29">
        <v>453000</v>
      </c>
      <c r="H750" s="45">
        <v>0.8</v>
      </c>
      <c r="I750" s="31">
        <v>1.1479999999999999</v>
      </c>
      <c r="J750" s="223">
        <f t="shared" si="96"/>
        <v>8720000</v>
      </c>
      <c r="K750" s="32">
        <f t="shared" si="97"/>
        <v>8720000</v>
      </c>
      <c r="L750" s="261">
        <f t="shared" si="95"/>
        <v>0</v>
      </c>
      <c r="M750" s="14"/>
    </row>
    <row r="751" spans="1:13" ht="61.5" customHeight="1" x14ac:dyDescent="0.3">
      <c r="A751" s="69"/>
      <c r="B751" s="8"/>
      <c r="C751" s="82" t="s">
        <v>634</v>
      </c>
      <c r="D751" s="271" t="s">
        <v>32</v>
      </c>
      <c r="E751" s="27" t="s">
        <v>23</v>
      </c>
      <c r="F751" s="72">
        <f>7.5*6.2</f>
        <v>46.5</v>
      </c>
      <c r="G751" s="29">
        <v>215000</v>
      </c>
      <c r="H751" s="45">
        <v>0.8</v>
      </c>
      <c r="I751" s="31">
        <v>1.1479999999999999</v>
      </c>
      <c r="J751" s="223">
        <f t="shared" si="96"/>
        <v>9182000</v>
      </c>
      <c r="K751" s="32">
        <f t="shared" si="97"/>
        <v>9182000</v>
      </c>
      <c r="L751" s="261">
        <f t="shared" si="95"/>
        <v>0</v>
      </c>
      <c r="M751" s="14"/>
    </row>
    <row r="752" spans="1:13" ht="72" customHeight="1" x14ac:dyDescent="0.3">
      <c r="A752" s="69"/>
      <c r="B752" s="8"/>
      <c r="C752" s="82" t="s">
        <v>635</v>
      </c>
      <c r="D752" s="274" t="s">
        <v>63</v>
      </c>
      <c r="E752" s="27" t="s">
        <v>23</v>
      </c>
      <c r="F752" s="89">
        <f>4*3.6</f>
        <v>14.4</v>
      </c>
      <c r="G752" s="29">
        <v>2975000</v>
      </c>
      <c r="H752" s="45">
        <v>0.8</v>
      </c>
      <c r="I752" s="102">
        <v>1.1479999999999999</v>
      </c>
      <c r="J752" s="229">
        <f t="shared" si="96"/>
        <v>39344000</v>
      </c>
      <c r="K752" s="32">
        <f t="shared" si="97"/>
        <v>39344000</v>
      </c>
      <c r="L752" s="261">
        <f t="shared" si="95"/>
        <v>0</v>
      </c>
      <c r="M752" s="14"/>
    </row>
    <row r="753" spans="1:13" ht="61.5" customHeight="1" x14ac:dyDescent="0.3">
      <c r="A753" s="69"/>
      <c r="B753" s="8"/>
      <c r="C753" s="82" t="s">
        <v>636</v>
      </c>
      <c r="D753" s="267" t="s">
        <v>26</v>
      </c>
      <c r="E753" s="27" t="s">
        <v>23</v>
      </c>
      <c r="F753" s="72">
        <f>2.1*1.6</f>
        <v>3.3600000000000003</v>
      </c>
      <c r="G753" s="29">
        <v>679000</v>
      </c>
      <c r="H753" s="45">
        <v>0.8</v>
      </c>
      <c r="I753" s="31">
        <v>1.1479999999999999</v>
      </c>
      <c r="J753" s="223">
        <f t="shared" si="96"/>
        <v>2095000</v>
      </c>
      <c r="K753" s="32">
        <f t="shared" si="97"/>
        <v>2095000</v>
      </c>
      <c r="L753" s="261">
        <f t="shared" si="95"/>
        <v>0</v>
      </c>
      <c r="M753" s="14"/>
    </row>
    <row r="754" spans="1:13" ht="61.5" customHeight="1" x14ac:dyDescent="0.3">
      <c r="A754" s="69"/>
      <c r="B754" s="8"/>
      <c r="C754" s="82" t="s">
        <v>637</v>
      </c>
      <c r="D754" s="192" t="s">
        <v>58</v>
      </c>
      <c r="E754" s="27" t="s">
        <v>35</v>
      </c>
      <c r="F754" s="98">
        <v>1</v>
      </c>
      <c r="G754" s="29">
        <v>1065100</v>
      </c>
      <c r="H754" s="50">
        <v>1</v>
      </c>
      <c r="I754" s="51">
        <v>1</v>
      </c>
      <c r="J754" s="223">
        <f t="shared" si="96"/>
        <v>1065000</v>
      </c>
      <c r="K754" s="32">
        <f t="shared" si="97"/>
        <v>1065000</v>
      </c>
      <c r="L754" s="261">
        <f t="shared" si="95"/>
        <v>0</v>
      </c>
      <c r="M754" s="14"/>
    </row>
    <row r="755" spans="1:13" ht="61.5" customHeight="1" x14ac:dyDescent="0.3">
      <c r="A755" s="69"/>
      <c r="B755" s="8"/>
      <c r="C755" s="82" t="s">
        <v>165</v>
      </c>
      <c r="D755" s="280" t="s">
        <v>92</v>
      </c>
      <c r="E755" s="27" t="s">
        <v>35</v>
      </c>
      <c r="F755" s="98">
        <v>1</v>
      </c>
      <c r="G755" s="11">
        <v>16590</v>
      </c>
      <c r="H755" s="50">
        <v>1</v>
      </c>
      <c r="I755" s="51">
        <v>1</v>
      </c>
      <c r="J755" s="223">
        <f t="shared" si="96"/>
        <v>17000</v>
      </c>
      <c r="K755" s="32">
        <f t="shared" si="97"/>
        <v>17000</v>
      </c>
      <c r="L755" s="261">
        <f t="shared" si="95"/>
        <v>0</v>
      </c>
      <c r="M755" s="14"/>
    </row>
    <row r="756" spans="1:13" ht="61.5" customHeight="1" x14ac:dyDescent="0.3">
      <c r="A756" s="69"/>
      <c r="B756" s="8"/>
      <c r="C756" s="82" t="s">
        <v>638</v>
      </c>
      <c r="D756" s="267" t="s">
        <v>36</v>
      </c>
      <c r="E756" s="27" t="s">
        <v>35</v>
      </c>
      <c r="F756" s="98">
        <v>2</v>
      </c>
      <c r="G756" s="49">
        <v>213020</v>
      </c>
      <c r="H756" s="52">
        <v>1</v>
      </c>
      <c r="I756" s="53">
        <v>1</v>
      </c>
      <c r="J756" s="223">
        <f t="shared" si="96"/>
        <v>426000</v>
      </c>
      <c r="K756" s="32">
        <f t="shared" si="97"/>
        <v>426000</v>
      </c>
      <c r="L756" s="261">
        <f t="shared" si="95"/>
        <v>0</v>
      </c>
      <c r="M756" s="14"/>
    </row>
    <row r="757" spans="1:13" ht="61.5" customHeight="1" x14ac:dyDescent="0.3">
      <c r="A757" s="108">
        <v>37</v>
      </c>
      <c r="B757" s="109" t="s">
        <v>639</v>
      </c>
      <c r="C757" s="455" t="s">
        <v>640</v>
      </c>
      <c r="D757" s="456"/>
      <c r="E757" s="456"/>
      <c r="F757" s="456"/>
      <c r="G757" s="456"/>
      <c r="H757" s="456"/>
      <c r="I757" s="457"/>
      <c r="J757" s="221">
        <f>SUM(J758:J762)</f>
        <v>67736000</v>
      </c>
      <c r="K757" s="32">
        <f>ROUND(G757*H757*I757*F757,-3)</f>
        <v>0</v>
      </c>
      <c r="L757" s="261">
        <f t="shared" si="95"/>
        <v>67736000</v>
      </c>
      <c r="M757" s="24"/>
    </row>
    <row r="758" spans="1:13" ht="90" customHeight="1" x14ac:dyDescent="0.3">
      <c r="A758" s="67"/>
      <c r="B758" s="68"/>
      <c r="C758" s="20" t="s">
        <v>641</v>
      </c>
      <c r="D758" s="267"/>
      <c r="E758" s="27" t="s">
        <v>23</v>
      </c>
      <c r="F758" s="35">
        <v>42.7</v>
      </c>
      <c r="G758" s="464" t="s">
        <v>1117</v>
      </c>
      <c r="H758" s="464"/>
      <c r="I758" s="465"/>
      <c r="J758" s="227"/>
      <c r="K758" s="32"/>
      <c r="L758" s="261">
        <f t="shared" si="95"/>
        <v>0</v>
      </c>
      <c r="M758" s="14"/>
    </row>
    <row r="759" spans="1:13" ht="61.5" customHeight="1" x14ac:dyDescent="0.3">
      <c r="A759" s="69"/>
      <c r="B759" s="8"/>
      <c r="C759" s="82" t="s">
        <v>843</v>
      </c>
      <c r="D759" s="270" t="s">
        <v>51</v>
      </c>
      <c r="E759" s="27" t="s">
        <v>23</v>
      </c>
      <c r="F759" s="72">
        <f>13.1*5</f>
        <v>65.5</v>
      </c>
      <c r="G759" s="29">
        <v>453000</v>
      </c>
      <c r="H759" s="45">
        <v>0.8</v>
      </c>
      <c r="I759" s="31">
        <v>1.1479999999999999</v>
      </c>
      <c r="J759" s="223">
        <f>ROUND(F759*G759*H759*I759,-3)</f>
        <v>27250000</v>
      </c>
      <c r="K759" s="32">
        <f>ROUND(G759*H759*I759*F759,-3)</f>
        <v>27250000</v>
      </c>
      <c r="L759" s="261">
        <f t="shared" si="95"/>
        <v>0</v>
      </c>
      <c r="M759" s="14"/>
    </row>
    <row r="760" spans="1:13" ht="61.5" customHeight="1" x14ac:dyDescent="0.3">
      <c r="A760" s="69"/>
      <c r="B760" s="8"/>
      <c r="C760" s="82" t="s">
        <v>642</v>
      </c>
      <c r="D760" s="271" t="s">
        <v>32</v>
      </c>
      <c r="E760" s="27" t="s">
        <v>23</v>
      </c>
      <c r="F760" s="72">
        <f>13.1*5</f>
        <v>65.5</v>
      </c>
      <c r="G760" s="29">
        <v>284000</v>
      </c>
      <c r="H760" s="45">
        <v>0.8</v>
      </c>
      <c r="I760" s="31">
        <v>1.1479999999999999</v>
      </c>
      <c r="J760" s="223">
        <f>ROUND(F760*G760*H760*I760,-3)</f>
        <v>17084000</v>
      </c>
      <c r="K760" s="32">
        <f>ROUND(G760*H760*I760*F760,-3)</f>
        <v>17084000</v>
      </c>
      <c r="L760" s="261">
        <f t="shared" si="95"/>
        <v>0</v>
      </c>
      <c r="M760" s="14"/>
    </row>
    <row r="761" spans="1:13" ht="61.5" customHeight="1" x14ac:dyDescent="0.3">
      <c r="A761" s="69"/>
      <c r="B761" s="8"/>
      <c r="C761" s="82" t="s">
        <v>643</v>
      </c>
      <c r="D761" s="271" t="s">
        <v>32</v>
      </c>
      <c r="E761" s="27" t="s">
        <v>23</v>
      </c>
      <c r="F761" s="72">
        <f>13.1*8</f>
        <v>104.8</v>
      </c>
      <c r="G761" s="29">
        <v>215000</v>
      </c>
      <c r="H761" s="45">
        <v>0.8</v>
      </c>
      <c r="I761" s="31">
        <v>1.1479999999999999</v>
      </c>
      <c r="J761" s="223">
        <f>ROUND(F761*G761*H761*I761,-3)</f>
        <v>20693000</v>
      </c>
      <c r="K761" s="32">
        <f>ROUND(G761*H761*I761*F761,-3)</f>
        <v>20693000</v>
      </c>
      <c r="L761" s="261">
        <f t="shared" si="95"/>
        <v>0</v>
      </c>
      <c r="M761" s="14"/>
    </row>
    <row r="762" spans="1:13" ht="61.5" customHeight="1" x14ac:dyDescent="0.3">
      <c r="A762" s="69"/>
      <c r="B762" s="8"/>
      <c r="C762" s="82" t="s">
        <v>644</v>
      </c>
      <c r="D762" s="270" t="s">
        <v>52</v>
      </c>
      <c r="E762" s="27" t="s">
        <v>23</v>
      </c>
      <c r="F762" s="72">
        <f>5*2.5</f>
        <v>12.5</v>
      </c>
      <c r="G762" s="11" t="s">
        <v>53</v>
      </c>
      <c r="H762" s="45">
        <v>0.8</v>
      </c>
      <c r="I762" s="79">
        <v>1.1479999999999999</v>
      </c>
      <c r="J762" s="223">
        <f>ROUND(F762*G762*H762*I762,-3)</f>
        <v>2709000</v>
      </c>
      <c r="K762" s="32">
        <f>ROUND(G762*H762*I762*F762,-3)</f>
        <v>2709000</v>
      </c>
      <c r="L762" s="261">
        <f t="shared" si="95"/>
        <v>0</v>
      </c>
      <c r="M762" s="14"/>
    </row>
    <row r="763" spans="1:13" ht="61.5" customHeight="1" x14ac:dyDescent="0.3">
      <c r="A763" s="149">
        <v>38</v>
      </c>
      <c r="B763" s="150" t="s">
        <v>645</v>
      </c>
      <c r="C763" s="455" t="s">
        <v>646</v>
      </c>
      <c r="D763" s="456"/>
      <c r="E763" s="456"/>
      <c r="F763" s="456"/>
      <c r="G763" s="456"/>
      <c r="H763" s="456"/>
      <c r="I763" s="457"/>
      <c r="J763" s="221">
        <f>SUM(J764:J774)</f>
        <v>70923000</v>
      </c>
      <c r="K763" s="32">
        <f>ROUND(G763*H763*I763*F763,-3)</f>
        <v>0</v>
      </c>
      <c r="L763" s="261">
        <f t="shared" si="95"/>
        <v>70923000</v>
      </c>
      <c r="M763" s="24"/>
    </row>
    <row r="764" spans="1:13" ht="90" customHeight="1" x14ac:dyDescent="0.3">
      <c r="A764" s="67"/>
      <c r="B764" s="68"/>
      <c r="C764" s="20" t="s">
        <v>647</v>
      </c>
      <c r="D764" s="267"/>
      <c r="E764" s="27" t="s">
        <v>23</v>
      </c>
      <c r="F764" s="35">
        <v>34.5</v>
      </c>
      <c r="G764" s="464" t="s">
        <v>1117</v>
      </c>
      <c r="H764" s="464"/>
      <c r="I764" s="465"/>
      <c r="J764" s="227"/>
      <c r="K764" s="32"/>
      <c r="L764" s="261">
        <f t="shared" si="95"/>
        <v>0</v>
      </c>
      <c r="M764" s="14"/>
    </row>
    <row r="765" spans="1:13" ht="61.5" customHeight="1" x14ac:dyDescent="0.3">
      <c r="A765" s="69"/>
      <c r="B765" s="8"/>
      <c r="C765" s="82" t="s">
        <v>844</v>
      </c>
      <c r="D765" s="270" t="s">
        <v>51</v>
      </c>
      <c r="E765" s="27" t="s">
        <v>23</v>
      </c>
      <c r="F765" s="72">
        <f>4.6*5</f>
        <v>23</v>
      </c>
      <c r="G765" s="29">
        <v>453000</v>
      </c>
      <c r="H765" s="45">
        <v>0.8</v>
      </c>
      <c r="I765" s="31">
        <v>1.1479999999999999</v>
      </c>
      <c r="J765" s="223">
        <f t="shared" ref="J765:J774" si="98">ROUND(F765*G765*H765*I765,-3)</f>
        <v>9569000</v>
      </c>
      <c r="K765" s="32">
        <f t="shared" ref="K765:K775" si="99">ROUND(G765*H765*I765*F765,-3)</f>
        <v>9569000</v>
      </c>
      <c r="L765" s="261">
        <f t="shared" si="95"/>
        <v>0</v>
      </c>
      <c r="M765" s="14"/>
    </row>
    <row r="766" spans="1:13" ht="61.5" customHeight="1" x14ac:dyDescent="0.3">
      <c r="A766" s="69"/>
      <c r="B766" s="8"/>
      <c r="C766" s="82" t="s">
        <v>648</v>
      </c>
      <c r="D766" s="270" t="s">
        <v>101</v>
      </c>
      <c r="E766" s="71" t="s">
        <v>23</v>
      </c>
      <c r="F766" s="75">
        <f>5*3.9</f>
        <v>19.5</v>
      </c>
      <c r="G766" s="29">
        <v>339000</v>
      </c>
      <c r="H766" s="45">
        <v>0.8</v>
      </c>
      <c r="I766" s="31">
        <v>1.1479999999999999</v>
      </c>
      <c r="J766" s="223">
        <f t="shared" si="98"/>
        <v>6071000</v>
      </c>
      <c r="K766" s="32">
        <f t="shared" si="99"/>
        <v>6071000</v>
      </c>
      <c r="L766" s="261">
        <f t="shared" si="95"/>
        <v>0</v>
      </c>
      <c r="M766" s="14"/>
    </row>
    <row r="767" spans="1:13" ht="61.5" customHeight="1" x14ac:dyDescent="0.3">
      <c r="A767" s="69"/>
      <c r="B767" s="8"/>
      <c r="C767" s="82" t="s">
        <v>649</v>
      </c>
      <c r="D767" s="271" t="s">
        <v>54</v>
      </c>
      <c r="E767" s="27" t="s">
        <v>23</v>
      </c>
      <c r="F767" s="72">
        <f>4.2*4.8</f>
        <v>20.16</v>
      </c>
      <c r="G767" s="46">
        <v>213000</v>
      </c>
      <c r="H767" s="45">
        <v>0.8</v>
      </c>
      <c r="I767" s="31">
        <v>1.1479999999999999</v>
      </c>
      <c r="J767" s="223">
        <f t="shared" si="98"/>
        <v>3944000</v>
      </c>
      <c r="K767" s="32">
        <f t="shared" si="99"/>
        <v>3944000</v>
      </c>
      <c r="L767" s="261">
        <f t="shared" si="95"/>
        <v>0</v>
      </c>
      <c r="M767" s="14"/>
    </row>
    <row r="768" spans="1:13" ht="61.5" customHeight="1" x14ac:dyDescent="0.3">
      <c r="A768" s="69"/>
      <c r="B768" s="8"/>
      <c r="C768" s="82" t="s">
        <v>650</v>
      </c>
      <c r="D768" s="267" t="s">
        <v>56</v>
      </c>
      <c r="E768" s="27" t="s">
        <v>23</v>
      </c>
      <c r="F768" s="72">
        <f>4.5*3</f>
        <v>13.5</v>
      </c>
      <c r="G768" s="29">
        <v>735000</v>
      </c>
      <c r="H768" s="45">
        <v>0.8</v>
      </c>
      <c r="I768" s="31">
        <v>1.1479999999999999</v>
      </c>
      <c r="J768" s="223">
        <f t="shared" si="98"/>
        <v>9113000</v>
      </c>
      <c r="K768" s="32">
        <f t="shared" si="99"/>
        <v>9113000</v>
      </c>
      <c r="L768" s="261">
        <f t="shared" si="95"/>
        <v>0</v>
      </c>
      <c r="M768" s="14"/>
    </row>
    <row r="769" spans="1:13" ht="61.5" customHeight="1" x14ac:dyDescent="0.3">
      <c r="A769" s="69"/>
      <c r="B769" s="8"/>
      <c r="C769" s="82" t="s">
        <v>651</v>
      </c>
      <c r="D769" s="270" t="s">
        <v>29</v>
      </c>
      <c r="E769" s="27" t="s">
        <v>23</v>
      </c>
      <c r="F769" s="72">
        <f>1.2*3.7+6.7*3.5+1.4*3.5+3.65*0.2</f>
        <v>33.519999999999996</v>
      </c>
      <c r="G769" s="29">
        <v>792000</v>
      </c>
      <c r="H769" s="45">
        <v>0.8</v>
      </c>
      <c r="I769" s="31">
        <v>1.1479999999999999</v>
      </c>
      <c r="J769" s="223">
        <f t="shared" si="98"/>
        <v>24382000</v>
      </c>
      <c r="K769" s="32">
        <f t="shared" si="99"/>
        <v>24382000</v>
      </c>
      <c r="L769" s="261">
        <f t="shared" si="95"/>
        <v>0</v>
      </c>
      <c r="M769" s="14"/>
    </row>
    <row r="770" spans="1:13" ht="61.5" customHeight="1" x14ac:dyDescent="0.3">
      <c r="A770" s="69"/>
      <c r="B770" s="8"/>
      <c r="C770" s="82" t="s">
        <v>652</v>
      </c>
      <c r="D770" s="272" t="s">
        <v>33</v>
      </c>
      <c r="E770" s="27" t="s">
        <v>23</v>
      </c>
      <c r="F770" s="89">
        <f>2.1*3.7</f>
        <v>7.7700000000000005</v>
      </c>
      <c r="G770" s="29">
        <v>453000</v>
      </c>
      <c r="H770" s="45">
        <v>0.8</v>
      </c>
      <c r="I770" s="31">
        <v>1.1479999999999999</v>
      </c>
      <c r="J770" s="223">
        <f t="shared" si="98"/>
        <v>3233000</v>
      </c>
      <c r="K770" s="32">
        <f t="shared" si="99"/>
        <v>3233000</v>
      </c>
      <c r="L770" s="261">
        <f t="shared" si="95"/>
        <v>0</v>
      </c>
      <c r="M770" s="14"/>
    </row>
    <row r="771" spans="1:13" ht="61.5" customHeight="1" x14ac:dyDescent="0.3">
      <c r="A771" s="69"/>
      <c r="B771" s="8"/>
      <c r="C771" s="82" t="s">
        <v>653</v>
      </c>
      <c r="D771" s="270" t="s">
        <v>31</v>
      </c>
      <c r="E771" s="27" t="s">
        <v>23</v>
      </c>
      <c r="F771" s="75">
        <f>5*8.3</f>
        <v>41.5</v>
      </c>
      <c r="G771" s="29">
        <v>339000</v>
      </c>
      <c r="H771" s="45">
        <v>0.8</v>
      </c>
      <c r="I771" s="31">
        <v>1.1479999999999999</v>
      </c>
      <c r="J771" s="223">
        <f t="shared" si="98"/>
        <v>12921000</v>
      </c>
      <c r="K771" s="32">
        <f t="shared" si="99"/>
        <v>12921000</v>
      </c>
      <c r="L771" s="261">
        <f t="shared" si="95"/>
        <v>0</v>
      </c>
      <c r="M771" s="14"/>
    </row>
    <row r="772" spans="1:13" ht="61.5" customHeight="1" x14ac:dyDescent="0.3">
      <c r="A772" s="69"/>
      <c r="B772" s="8"/>
      <c r="C772" s="82" t="s">
        <v>654</v>
      </c>
      <c r="D772" s="192" t="s">
        <v>58</v>
      </c>
      <c r="E772" s="27" t="s">
        <v>35</v>
      </c>
      <c r="F772" s="98">
        <v>2</v>
      </c>
      <c r="G772" s="49">
        <v>532550</v>
      </c>
      <c r="H772" s="50">
        <v>1</v>
      </c>
      <c r="I772" s="51">
        <v>1</v>
      </c>
      <c r="J772" s="223">
        <f t="shared" si="98"/>
        <v>1065000</v>
      </c>
      <c r="K772" s="32">
        <f t="shared" si="99"/>
        <v>1065000</v>
      </c>
      <c r="L772" s="261">
        <f t="shared" si="95"/>
        <v>0</v>
      </c>
      <c r="M772" s="14"/>
    </row>
    <row r="773" spans="1:13" ht="61.5" customHeight="1" x14ac:dyDescent="0.3">
      <c r="A773" s="69"/>
      <c r="B773" s="8"/>
      <c r="C773" s="82" t="s">
        <v>40</v>
      </c>
      <c r="D773" s="276" t="s">
        <v>41</v>
      </c>
      <c r="E773" s="59" t="s">
        <v>42</v>
      </c>
      <c r="F773" s="98">
        <v>14</v>
      </c>
      <c r="G773" s="11">
        <v>10650</v>
      </c>
      <c r="H773" s="60">
        <v>1</v>
      </c>
      <c r="I773" s="61">
        <v>1</v>
      </c>
      <c r="J773" s="223">
        <f t="shared" si="98"/>
        <v>149000</v>
      </c>
      <c r="K773" s="32">
        <f t="shared" si="99"/>
        <v>149000</v>
      </c>
      <c r="L773" s="261">
        <f t="shared" si="95"/>
        <v>0</v>
      </c>
      <c r="M773" s="14"/>
    </row>
    <row r="774" spans="1:13" ht="61.5" customHeight="1" x14ac:dyDescent="0.3">
      <c r="A774" s="69"/>
      <c r="B774" s="8"/>
      <c r="C774" s="82" t="s">
        <v>655</v>
      </c>
      <c r="D774" s="270" t="s">
        <v>66</v>
      </c>
      <c r="E774" s="27" t="s">
        <v>23</v>
      </c>
      <c r="F774" s="72">
        <f>(5.1*0.15)*2</f>
        <v>1.5299999999999998</v>
      </c>
      <c r="G774" s="29">
        <v>339000</v>
      </c>
      <c r="H774" s="45">
        <v>0.8</v>
      </c>
      <c r="I774" s="79">
        <v>1.1479999999999999</v>
      </c>
      <c r="J774" s="223">
        <f t="shared" si="98"/>
        <v>476000</v>
      </c>
      <c r="K774" s="32">
        <f t="shared" si="99"/>
        <v>476000</v>
      </c>
      <c r="L774" s="261">
        <f t="shared" si="95"/>
        <v>0</v>
      </c>
      <c r="M774" s="14"/>
    </row>
    <row r="775" spans="1:13" ht="61.5" customHeight="1" x14ac:dyDescent="0.3">
      <c r="A775" s="149">
        <v>39</v>
      </c>
      <c r="B775" s="150" t="s">
        <v>656</v>
      </c>
      <c r="C775" s="455" t="s">
        <v>657</v>
      </c>
      <c r="D775" s="456"/>
      <c r="E775" s="456"/>
      <c r="F775" s="456"/>
      <c r="G775" s="456"/>
      <c r="H775" s="456"/>
      <c r="I775" s="457"/>
      <c r="J775" s="221">
        <f>SUM(J776:J781)</f>
        <v>24086000</v>
      </c>
      <c r="K775" s="32">
        <f t="shared" si="99"/>
        <v>0</v>
      </c>
      <c r="L775" s="261">
        <f t="shared" si="95"/>
        <v>24086000</v>
      </c>
      <c r="M775" s="24"/>
    </row>
    <row r="776" spans="1:13" ht="90" customHeight="1" x14ac:dyDescent="0.3">
      <c r="A776" s="67"/>
      <c r="B776" s="68"/>
      <c r="C776" s="20" t="s">
        <v>658</v>
      </c>
      <c r="D776" s="267"/>
      <c r="E776" s="27" t="s">
        <v>23</v>
      </c>
      <c r="F776" s="35">
        <v>19.7</v>
      </c>
      <c r="G776" s="464" t="s">
        <v>1117</v>
      </c>
      <c r="H776" s="464"/>
      <c r="I776" s="465"/>
      <c r="J776" s="227"/>
      <c r="K776" s="32"/>
      <c r="L776" s="261">
        <f t="shared" si="95"/>
        <v>0</v>
      </c>
      <c r="M776" s="14"/>
    </row>
    <row r="777" spans="1:13" ht="61.5" customHeight="1" x14ac:dyDescent="0.3">
      <c r="A777" s="69"/>
      <c r="B777" s="8"/>
      <c r="C777" s="82" t="s">
        <v>845</v>
      </c>
      <c r="D777" s="270" t="s">
        <v>51</v>
      </c>
      <c r="E777" s="27" t="s">
        <v>23</v>
      </c>
      <c r="F777" s="72">
        <f>4.3*5.1</f>
        <v>21.929999999999996</v>
      </c>
      <c r="G777" s="29">
        <v>453000</v>
      </c>
      <c r="H777" s="45">
        <v>0.8</v>
      </c>
      <c r="I777" s="31">
        <v>1.1479999999999999</v>
      </c>
      <c r="J777" s="223">
        <f>ROUND(F777*G777*H777*I777,-3)</f>
        <v>9124000</v>
      </c>
      <c r="K777" s="32">
        <f t="shared" ref="K777:K782" si="100">ROUND(G777*H777*I777*F777,-3)</f>
        <v>9124000</v>
      </c>
      <c r="L777" s="261">
        <f t="shared" si="95"/>
        <v>0</v>
      </c>
      <c r="M777" s="14"/>
    </row>
    <row r="778" spans="1:13" ht="61.5" customHeight="1" x14ac:dyDescent="0.3">
      <c r="A778" s="69"/>
      <c r="B778" s="8"/>
      <c r="C778" s="82" t="s">
        <v>659</v>
      </c>
      <c r="D778" s="271" t="s">
        <v>32</v>
      </c>
      <c r="E778" s="27" t="s">
        <v>23</v>
      </c>
      <c r="F778" s="72">
        <f>5*4.3</f>
        <v>21.5</v>
      </c>
      <c r="G778" s="29">
        <v>215000</v>
      </c>
      <c r="H778" s="45">
        <v>0.8</v>
      </c>
      <c r="I778" s="31">
        <v>1.1479999999999999</v>
      </c>
      <c r="J778" s="223">
        <f>ROUND(F778*G778*H778*I778,-3)</f>
        <v>4245000</v>
      </c>
      <c r="K778" s="32">
        <f t="shared" si="100"/>
        <v>4245000</v>
      </c>
      <c r="L778" s="261">
        <f t="shared" si="95"/>
        <v>0</v>
      </c>
      <c r="M778" s="14"/>
    </row>
    <row r="779" spans="1:13" ht="61.5" customHeight="1" x14ac:dyDescent="0.3">
      <c r="A779" s="69"/>
      <c r="B779" s="8"/>
      <c r="C779" s="82" t="s">
        <v>660</v>
      </c>
      <c r="D779" s="271" t="s">
        <v>32</v>
      </c>
      <c r="E779" s="27" t="s">
        <v>23</v>
      </c>
      <c r="F779" s="72">
        <f>8.3*5</f>
        <v>41.5</v>
      </c>
      <c r="G779" s="29">
        <v>215000</v>
      </c>
      <c r="H779" s="45">
        <v>0.8</v>
      </c>
      <c r="I779" s="31">
        <v>1.1479999999999999</v>
      </c>
      <c r="J779" s="223">
        <f>ROUND(F779*G779*H779*I779,-3)</f>
        <v>8194000</v>
      </c>
      <c r="K779" s="32">
        <f t="shared" si="100"/>
        <v>8194000</v>
      </c>
      <c r="L779" s="261">
        <f t="shared" si="95"/>
        <v>0</v>
      </c>
      <c r="M779" s="14"/>
    </row>
    <row r="780" spans="1:13" ht="61.5" customHeight="1" x14ac:dyDescent="0.3">
      <c r="A780" s="69"/>
      <c r="B780" s="8"/>
      <c r="C780" s="82" t="s">
        <v>661</v>
      </c>
      <c r="D780" s="270" t="s">
        <v>55</v>
      </c>
      <c r="E780" s="27" t="s">
        <v>23</v>
      </c>
      <c r="F780" s="72">
        <f>0.6*0.8</f>
        <v>0.48</v>
      </c>
      <c r="G780" s="29">
        <v>905000</v>
      </c>
      <c r="H780" s="45">
        <v>0.8</v>
      </c>
      <c r="I780" s="79">
        <v>1.1479999999999999</v>
      </c>
      <c r="J780" s="223">
        <f>ROUND(F780*G780*H780*I780,-3)</f>
        <v>399000</v>
      </c>
      <c r="K780" s="32">
        <f t="shared" si="100"/>
        <v>399000</v>
      </c>
      <c r="L780" s="261">
        <f t="shared" si="95"/>
        <v>0</v>
      </c>
      <c r="M780" s="14"/>
    </row>
    <row r="781" spans="1:13" ht="61.5" customHeight="1" x14ac:dyDescent="0.3">
      <c r="A781" s="69"/>
      <c r="B781" s="8"/>
      <c r="C781" s="82" t="s">
        <v>662</v>
      </c>
      <c r="D781" s="270" t="s">
        <v>52</v>
      </c>
      <c r="E781" s="27" t="s">
        <v>23</v>
      </c>
      <c r="F781" s="72">
        <f>4.9*2</f>
        <v>9.8000000000000007</v>
      </c>
      <c r="G781" s="11" t="s">
        <v>53</v>
      </c>
      <c r="H781" s="45">
        <v>0.8</v>
      </c>
      <c r="I781" s="79">
        <v>1.1479999999999999</v>
      </c>
      <c r="J781" s="223">
        <f>ROUND(F781*G781*H781*I781,-3)</f>
        <v>2124000</v>
      </c>
      <c r="K781" s="32">
        <f t="shared" si="100"/>
        <v>2124000</v>
      </c>
      <c r="L781" s="261">
        <f t="shared" si="95"/>
        <v>0</v>
      </c>
      <c r="M781" s="14"/>
    </row>
    <row r="782" spans="1:13" ht="61.5" customHeight="1" x14ac:dyDescent="0.3">
      <c r="A782" s="149">
        <v>40</v>
      </c>
      <c r="B782" s="109" t="s">
        <v>663</v>
      </c>
      <c r="C782" s="455" t="s">
        <v>664</v>
      </c>
      <c r="D782" s="456"/>
      <c r="E782" s="456"/>
      <c r="F782" s="456"/>
      <c r="G782" s="456"/>
      <c r="H782" s="456"/>
      <c r="I782" s="457"/>
      <c r="J782" s="221">
        <f>SUM(J783:J789)</f>
        <v>65353000</v>
      </c>
      <c r="K782" s="32">
        <f t="shared" si="100"/>
        <v>0</v>
      </c>
      <c r="L782" s="261">
        <f t="shared" ref="L782:L801" si="101">J782-K782</f>
        <v>65353000</v>
      </c>
      <c r="M782" s="24"/>
    </row>
    <row r="783" spans="1:13" ht="90" customHeight="1" x14ac:dyDescent="0.3">
      <c r="A783" s="67"/>
      <c r="B783" s="68"/>
      <c r="C783" s="20" t="s">
        <v>665</v>
      </c>
      <c r="D783" s="267"/>
      <c r="E783" s="27" t="s">
        <v>23</v>
      </c>
      <c r="F783" s="35">
        <v>32.1</v>
      </c>
      <c r="G783" s="464" t="s">
        <v>1042</v>
      </c>
      <c r="H783" s="464"/>
      <c r="I783" s="465"/>
      <c r="J783" s="227"/>
      <c r="K783" s="32"/>
      <c r="L783" s="261">
        <f t="shared" si="101"/>
        <v>0</v>
      </c>
      <c r="M783" s="14"/>
    </row>
    <row r="784" spans="1:13" ht="61.5" customHeight="1" x14ac:dyDescent="0.3">
      <c r="A784" s="69"/>
      <c r="B784" s="8"/>
      <c r="C784" s="82" t="s">
        <v>846</v>
      </c>
      <c r="D784" s="270" t="s">
        <v>51</v>
      </c>
      <c r="E784" s="27" t="s">
        <v>23</v>
      </c>
      <c r="F784" s="72">
        <f>9.6*3.4</f>
        <v>32.64</v>
      </c>
      <c r="G784" s="29">
        <v>453000</v>
      </c>
      <c r="H784" s="45">
        <v>0.8</v>
      </c>
      <c r="I784" s="31">
        <v>1.1479999999999999</v>
      </c>
      <c r="J784" s="223">
        <f t="shared" ref="J784:J789" si="102">ROUND(F784*G784*H784*I784,-3)</f>
        <v>13579000</v>
      </c>
      <c r="K784" s="32">
        <f t="shared" ref="K784:K790" si="103">ROUND(G784*H784*I784*F784,-3)</f>
        <v>13579000</v>
      </c>
      <c r="L784" s="261">
        <f t="shared" si="101"/>
        <v>0</v>
      </c>
      <c r="M784" s="14"/>
    </row>
    <row r="785" spans="1:13" ht="61.5" customHeight="1" x14ac:dyDescent="0.3">
      <c r="A785" s="69"/>
      <c r="B785" s="8"/>
      <c r="C785" s="82" t="s">
        <v>666</v>
      </c>
      <c r="D785" s="267" t="s">
        <v>56</v>
      </c>
      <c r="E785" s="27" t="s">
        <v>23</v>
      </c>
      <c r="F785" s="72">
        <f>4.75*4+3.4*4</f>
        <v>32.6</v>
      </c>
      <c r="G785" s="173">
        <v>735000</v>
      </c>
      <c r="H785" s="45">
        <v>0.8</v>
      </c>
      <c r="I785" s="159">
        <v>1.1479999999999999</v>
      </c>
      <c r="J785" s="224">
        <f t="shared" si="102"/>
        <v>22006000</v>
      </c>
      <c r="K785" s="32">
        <f t="shared" si="103"/>
        <v>22006000</v>
      </c>
      <c r="L785" s="261">
        <f t="shared" si="101"/>
        <v>0</v>
      </c>
      <c r="M785" s="14"/>
    </row>
    <row r="786" spans="1:13" ht="61.5" customHeight="1" x14ac:dyDescent="0.3">
      <c r="A786" s="69"/>
      <c r="B786" s="8"/>
      <c r="C786" s="82" t="s">
        <v>667</v>
      </c>
      <c r="D786" s="270" t="s">
        <v>52</v>
      </c>
      <c r="E786" s="27" t="s">
        <v>23</v>
      </c>
      <c r="F786" s="72">
        <f>(3.4*4)*2</f>
        <v>27.2</v>
      </c>
      <c r="G786" s="11" t="s">
        <v>53</v>
      </c>
      <c r="H786" s="45">
        <v>0.8</v>
      </c>
      <c r="I786" s="79">
        <v>1.1479999999999999</v>
      </c>
      <c r="J786" s="223">
        <f t="shared" si="102"/>
        <v>5895000</v>
      </c>
      <c r="K786" s="32">
        <f t="shared" si="103"/>
        <v>5895000</v>
      </c>
      <c r="L786" s="261">
        <f t="shared" si="101"/>
        <v>0</v>
      </c>
      <c r="M786" s="14"/>
    </row>
    <row r="787" spans="1:13" ht="61.5" customHeight="1" x14ac:dyDescent="0.3">
      <c r="A787" s="69"/>
      <c r="B787" s="8"/>
      <c r="C787" s="82" t="s">
        <v>668</v>
      </c>
      <c r="D787" s="270" t="s">
        <v>66</v>
      </c>
      <c r="E787" s="27" t="s">
        <v>23</v>
      </c>
      <c r="F787" s="75">
        <f>3.4*3.4</f>
        <v>11.559999999999999</v>
      </c>
      <c r="G787" s="29">
        <v>339000</v>
      </c>
      <c r="H787" s="45">
        <v>0.8</v>
      </c>
      <c r="I787" s="79">
        <v>1.1479999999999999</v>
      </c>
      <c r="J787" s="223">
        <f t="shared" si="102"/>
        <v>3599000</v>
      </c>
      <c r="K787" s="32">
        <f t="shared" si="103"/>
        <v>3599000</v>
      </c>
      <c r="L787" s="261">
        <f t="shared" si="101"/>
        <v>0</v>
      </c>
      <c r="M787" s="14"/>
    </row>
    <row r="788" spans="1:13" ht="61.5" customHeight="1" x14ac:dyDescent="0.3">
      <c r="A788" s="69"/>
      <c r="B788" s="8"/>
      <c r="C788" s="82" t="s">
        <v>669</v>
      </c>
      <c r="D788" s="271" t="s">
        <v>32</v>
      </c>
      <c r="E788" s="27" t="s">
        <v>23</v>
      </c>
      <c r="F788" s="72">
        <f>6.2*3.4</f>
        <v>21.08</v>
      </c>
      <c r="G788" s="29">
        <v>215000</v>
      </c>
      <c r="H788" s="45">
        <v>0.8</v>
      </c>
      <c r="I788" s="31">
        <v>1.1479999999999999</v>
      </c>
      <c r="J788" s="223">
        <f t="shared" si="102"/>
        <v>4162000</v>
      </c>
      <c r="K788" s="32">
        <f t="shared" si="103"/>
        <v>4162000</v>
      </c>
      <c r="L788" s="261">
        <f t="shared" si="101"/>
        <v>0</v>
      </c>
      <c r="M788" s="14"/>
    </row>
    <row r="789" spans="1:13" ht="61.5" customHeight="1" x14ac:dyDescent="0.3">
      <c r="A789" s="69"/>
      <c r="B789" s="8"/>
      <c r="C789" s="82" t="s">
        <v>670</v>
      </c>
      <c r="D789" s="271" t="s">
        <v>32</v>
      </c>
      <c r="E789" s="27" t="s">
        <v>23</v>
      </c>
      <c r="F789" s="72">
        <f>9.6*8.5</f>
        <v>81.599999999999994</v>
      </c>
      <c r="G789" s="29">
        <v>215000</v>
      </c>
      <c r="H789" s="45">
        <v>0.8</v>
      </c>
      <c r="I789" s="31">
        <v>1.1479999999999999</v>
      </c>
      <c r="J789" s="223">
        <f t="shared" si="102"/>
        <v>16112000</v>
      </c>
      <c r="K789" s="32">
        <f t="shared" si="103"/>
        <v>16112000</v>
      </c>
      <c r="L789" s="261">
        <f t="shared" si="101"/>
        <v>0</v>
      </c>
      <c r="M789" s="14"/>
    </row>
    <row r="790" spans="1:13" ht="61.5" customHeight="1" x14ac:dyDescent="0.3">
      <c r="A790" s="149">
        <v>41</v>
      </c>
      <c r="B790" s="109" t="s">
        <v>671</v>
      </c>
      <c r="C790" s="455" t="s">
        <v>672</v>
      </c>
      <c r="D790" s="456"/>
      <c r="E790" s="456"/>
      <c r="F790" s="456"/>
      <c r="G790" s="456"/>
      <c r="H790" s="456"/>
      <c r="I790" s="457"/>
      <c r="J790" s="221">
        <f>SUM(J791:J795)</f>
        <v>72029000</v>
      </c>
      <c r="K790" s="32">
        <f t="shared" si="103"/>
        <v>0</v>
      </c>
      <c r="L790" s="261">
        <f t="shared" si="101"/>
        <v>72029000</v>
      </c>
      <c r="M790" s="24"/>
    </row>
    <row r="791" spans="1:13" ht="90" customHeight="1" x14ac:dyDescent="0.3">
      <c r="A791" s="67"/>
      <c r="B791" s="68"/>
      <c r="C791" s="20" t="s">
        <v>673</v>
      </c>
      <c r="D791" s="267"/>
      <c r="E791" s="27" t="s">
        <v>23</v>
      </c>
      <c r="F791" s="35">
        <v>88.1</v>
      </c>
      <c r="G791" s="464" t="s">
        <v>1042</v>
      </c>
      <c r="H791" s="464"/>
      <c r="I791" s="465"/>
      <c r="J791" s="227"/>
      <c r="K791" s="32"/>
      <c r="L791" s="261">
        <f t="shared" si="101"/>
        <v>0</v>
      </c>
      <c r="M791" s="14"/>
    </row>
    <row r="792" spans="1:13" ht="61.5" customHeight="1" x14ac:dyDescent="0.3">
      <c r="A792" s="69"/>
      <c r="B792" s="8"/>
      <c r="C792" s="82" t="s">
        <v>674</v>
      </c>
      <c r="D792" s="271" t="s">
        <v>32</v>
      </c>
      <c r="E792" s="27" t="s">
        <v>23</v>
      </c>
      <c r="F792" s="72">
        <f>27*13</f>
        <v>351</v>
      </c>
      <c r="G792" s="29">
        <v>215000</v>
      </c>
      <c r="H792" s="45">
        <v>0.8</v>
      </c>
      <c r="I792" s="31">
        <v>1.1479999999999999</v>
      </c>
      <c r="J792" s="223">
        <f>ROUND(F792*G792*H792*I792,-3)</f>
        <v>69307000</v>
      </c>
      <c r="K792" s="32">
        <f>ROUND(G792*H792*I792*F792,-3)</f>
        <v>69307000</v>
      </c>
      <c r="L792" s="261">
        <f t="shared" si="101"/>
        <v>0</v>
      </c>
      <c r="M792" s="14"/>
    </row>
    <row r="793" spans="1:13" ht="61.5" customHeight="1" x14ac:dyDescent="0.3">
      <c r="A793" s="69"/>
      <c r="B793" s="8"/>
      <c r="C793" s="82" t="s">
        <v>675</v>
      </c>
      <c r="D793" s="270" t="s">
        <v>52</v>
      </c>
      <c r="E793" s="27" t="s">
        <v>23</v>
      </c>
      <c r="F793" s="72">
        <f>3*2</f>
        <v>6</v>
      </c>
      <c r="G793" s="11" t="s">
        <v>53</v>
      </c>
      <c r="H793" s="45">
        <v>0.8</v>
      </c>
      <c r="I793" s="79">
        <v>1.1479999999999999</v>
      </c>
      <c r="J793" s="223">
        <f>ROUND(F793*G793*H793*I793,-3)</f>
        <v>1300000</v>
      </c>
      <c r="K793" s="32">
        <f>ROUND(G793*H793*I793*F793,-3)</f>
        <v>1300000</v>
      </c>
      <c r="L793" s="261">
        <f t="shared" si="101"/>
        <v>0</v>
      </c>
      <c r="M793" s="14"/>
    </row>
    <row r="794" spans="1:13" ht="61.5" customHeight="1" x14ac:dyDescent="0.3">
      <c r="A794" s="69"/>
      <c r="B794" s="8"/>
      <c r="C794" s="82" t="s">
        <v>676</v>
      </c>
      <c r="D794" s="270" t="s">
        <v>55</v>
      </c>
      <c r="E794" s="27" t="s">
        <v>23</v>
      </c>
      <c r="F794" s="72">
        <f>0.5*0.5+0.5*1</f>
        <v>0.75</v>
      </c>
      <c r="G794" s="29">
        <v>905000</v>
      </c>
      <c r="H794" s="45">
        <v>0.8</v>
      </c>
      <c r="I794" s="79">
        <v>1.1479999999999999</v>
      </c>
      <c r="J794" s="223">
        <f>ROUND(F794*G794*H794*I794,-3)</f>
        <v>623000</v>
      </c>
      <c r="K794" s="32">
        <f>ROUND(G794*H794*I794*F794,-3)</f>
        <v>623000</v>
      </c>
      <c r="L794" s="261">
        <f t="shared" si="101"/>
        <v>0</v>
      </c>
      <c r="M794" s="14"/>
    </row>
    <row r="795" spans="1:13" ht="61.5" customHeight="1" x14ac:dyDescent="0.3">
      <c r="A795" s="69"/>
      <c r="B795" s="8"/>
      <c r="C795" s="82" t="s">
        <v>677</v>
      </c>
      <c r="D795" s="284" t="s">
        <v>58</v>
      </c>
      <c r="E795" s="27" t="s">
        <v>35</v>
      </c>
      <c r="F795" s="76">
        <v>3</v>
      </c>
      <c r="G795" s="29">
        <v>266280</v>
      </c>
      <c r="H795" s="50">
        <v>1</v>
      </c>
      <c r="I795" s="51">
        <v>1</v>
      </c>
      <c r="J795" s="224">
        <f>ROUND(F795*G795*H795*I795,-3)</f>
        <v>799000</v>
      </c>
      <c r="K795" s="32">
        <f>ROUND(G795*H795*I795*F795,-3)</f>
        <v>799000</v>
      </c>
      <c r="L795" s="261">
        <f t="shared" si="101"/>
        <v>0</v>
      </c>
      <c r="M795" s="14"/>
    </row>
    <row r="796" spans="1:13" s="289" customFormat="1" ht="61.5" customHeight="1" x14ac:dyDescent="0.3">
      <c r="A796" s="149">
        <v>42</v>
      </c>
      <c r="B796" s="150" t="s">
        <v>213</v>
      </c>
      <c r="C796" s="455" t="s">
        <v>214</v>
      </c>
      <c r="D796" s="456"/>
      <c r="E796" s="456"/>
      <c r="F796" s="456"/>
      <c r="G796" s="456"/>
      <c r="H796" s="456"/>
      <c r="I796" s="457"/>
      <c r="J796" s="221">
        <f>SUM(J797:J812)</f>
        <v>154806000</v>
      </c>
      <c r="K796" s="32">
        <f>ROUND(G796*H796*I796*F796,-3)</f>
        <v>0</v>
      </c>
      <c r="L796" s="261">
        <f t="shared" si="101"/>
        <v>154806000</v>
      </c>
      <c r="M796" s="24"/>
    </row>
    <row r="797" spans="1:13" s="289" customFormat="1" ht="90" customHeight="1" x14ac:dyDescent="0.3">
      <c r="A797" s="67"/>
      <c r="B797" s="68"/>
      <c r="C797" s="20" t="s">
        <v>215</v>
      </c>
      <c r="D797" s="26"/>
      <c r="E797" s="27" t="s">
        <v>23</v>
      </c>
      <c r="F797" s="35">
        <v>47.9</v>
      </c>
      <c r="G797" s="464" t="s">
        <v>1152</v>
      </c>
      <c r="H797" s="464"/>
      <c r="I797" s="465"/>
      <c r="J797" s="227"/>
      <c r="K797" s="32"/>
      <c r="L797" s="261">
        <f t="shared" si="101"/>
        <v>0</v>
      </c>
      <c r="M797" s="14"/>
    </row>
    <row r="798" spans="1:13" s="289" customFormat="1" ht="81.75" customHeight="1" x14ac:dyDescent="0.3">
      <c r="A798" s="69"/>
      <c r="B798" s="8"/>
      <c r="C798" s="82" t="s">
        <v>216</v>
      </c>
      <c r="D798" s="81" t="s">
        <v>113</v>
      </c>
      <c r="E798" s="27" t="s">
        <v>23</v>
      </c>
      <c r="F798" s="75">
        <f>3.8*5.9</f>
        <v>22.42</v>
      </c>
      <c r="G798" s="29">
        <v>3224000</v>
      </c>
      <c r="H798" s="101">
        <v>0.8</v>
      </c>
      <c r="I798" s="102">
        <v>1.1479999999999999</v>
      </c>
      <c r="J798" s="223">
        <f t="shared" ref="J798:J812" si="104">ROUND(F798*G798*H798*I798,-3)</f>
        <v>66384000</v>
      </c>
      <c r="K798" s="32">
        <f t="shared" ref="K798:K813" si="105">ROUND(G798*H798*I798*F798,-3)</f>
        <v>66384000</v>
      </c>
      <c r="L798" s="261">
        <f t="shared" si="101"/>
        <v>0</v>
      </c>
      <c r="M798" s="14"/>
    </row>
    <row r="799" spans="1:13" s="289" customFormat="1" ht="61.5" customHeight="1" x14ac:dyDescent="0.3">
      <c r="A799" s="69"/>
      <c r="B799" s="8"/>
      <c r="C799" s="82" t="s">
        <v>217</v>
      </c>
      <c r="D799" s="42" t="s">
        <v>32</v>
      </c>
      <c r="E799" s="27" t="s">
        <v>23</v>
      </c>
      <c r="F799" s="72">
        <f>5.9*4.7</f>
        <v>27.730000000000004</v>
      </c>
      <c r="G799" s="29">
        <v>215000</v>
      </c>
      <c r="H799" s="43">
        <v>0.8</v>
      </c>
      <c r="I799" s="31">
        <v>1.1479999999999999</v>
      </c>
      <c r="J799" s="223">
        <f t="shared" si="104"/>
        <v>5475000</v>
      </c>
      <c r="K799" s="32">
        <f t="shared" si="105"/>
        <v>5475000</v>
      </c>
      <c r="L799" s="261">
        <f t="shared" si="101"/>
        <v>0</v>
      </c>
      <c r="M799" s="14"/>
    </row>
    <row r="800" spans="1:13" s="289" customFormat="1" ht="61.5" customHeight="1" x14ac:dyDescent="0.3">
      <c r="A800" s="69"/>
      <c r="B800" s="8"/>
      <c r="C800" s="82" t="s">
        <v>218</v>
      </c>
      <c r="D800" s="42" t="s">
        <v>32</v>
      </c>
      <c r="E800" s="27" t="s">
        <v>23</v>
      </c>
      <c r="F800" s="72">
        <f>5*5.7</f>
        <v>28.5</v>
      </c>
      <c r="G800" s="29">
        <v>215000</v>
      </c>
      <c r="H800" s="43">
        <v>0.8</v>
      </c>
      <c r="I800" s="31">
        <v>1.1479999999999999</v>
      </c>
      <c r="J800" s="223">
        <f t="shared" si="104"/>
        <v>5627000</v>
      </c>
      <c r="K800" s="32">
        <f t="shared" si="105"/>
        <v>5627000</v>
      </c>
      <c r="L800" s="261">
        <f t="shared" si="101"/>
        <v>0</v>
      </c>
      <c r="M800" s="14"/>
    </row>
    <row r="801" spans="1:13" s="289" customFormat="1" ht="61.5" customHeight="1" x14ac:dyDescent="0.3">
      <c r="A801" s="69"/>
      <c r="B801" s="8"/>
      <c r="C801" s="82" t="s">
        <v>219</v>
      </c>
      <c r="D801" s="26" t="s">
        <v>26</v>
      </c>
      <c r="E801" s="27" t="s">
        <v>23</v>
      </c>
      <c r="F801" s="89">
        <f>5.1*3</f>
        <v>15.299999999999999</v>
      </c>
      <c r="G801" s="29">
        <v>679000</v>
      </c>
      <c r="H801" s="45">
        <v>0.8</v>
      </c>
      <c r="I801" s="31">
        <v>1.1479999999999999</v>
      </c>
      <c r="J801" s="223">
        <f t="shared" si="104"/>
        <v>9541000</v>
      </c>
      <c r="K801" s="32">
        <f t="shared" si="105"/>
        <v>9541000</v>
      </c>
      <c r="L801" s="261">
        <f t="shared" si="101"/>
        <v>0</v>
      </c>
      <c r="M801" s="14"/>
    </row>
    <row r="802" spans="1:13" s="289" customFormat="1" ht="61.5" customHeight="1" x14ac:dyDescent="0.3">
      <c r="A802" s="69"/>
      <c r="B802" s="8"/>
      <c r="C802" s="82" t="s">
        <v>220</v>
      </c>
      <c r="D802" s="44" t="s">
        <v>33</v>
      </c>
      <c r="E802" s="27" t="s">
        <v>23</v>
      </c>
      <c r="F802" s="89">
        <f>5.1*1.4+(1.6*0.8)*2</f>
        <v>9.6999999999999993</v>
      </c>
      <c r="G802" s="29">
        <v>453000</v>
      </c>
      <c r="H802" s="45">
        <v>0.8</v>
      </c>
      <c r="I802" s="31">
        <v>1.1479999999999999</v>
      </c>
      <c r="J802" s="223">
        <f t="shared" si="104"/>
        <v>4036000</v>
      </c>
      <c r="K802" s="32">
        <f t="shared" si="105"/>
        <v>4036000</v>
      </c>
      <c r="L802" s="261"/>
      <c r="M802" s="14"/>
    </row>
    <row r="803" spans="1:13" s="289" customFormat="1" ht="61.5" customHeight="1" x14ac:dyDescent="0.3">
      <c r="A803" s="69"/>
      <c r="B803" s="8"/>
      <c r="C803" s="82" t="s">
        <v>221</v>
      </c>
      <c r="D803" s="42" t="s">
        <v>54</v>
      </c>
      <c r="E803" s="27" t="s">
        <v>23</v>
      </c>
      <c r="F803" s="72">
        <f>(1.6*0.8)*2+0.8*5.9</f>
        <v>7.2800000000000011</v>
      </c>
      <c r="G803" s="46">
        <v>213000</v>
      </c>
      <c r="H803" s="52">
        <v>0.8</v>
      </c>
      <c r="I803" s="57">
        <v>1.1479999999999999</v>
      </c>
      <c r="J803" s="223">
        <f t="shared" si="104"/>
        <v>1424000</v>
      </c>
      <c r="K803" s="32">
        <f t="shared" si="105"/>
        <v>1424000</v>
      </c>
      <c r="L803" s="262">
        <f t="shared" ref="L803:L815" si="106">J803-K803</f>
        <v>0</v>
      </c>
      <c r="M803" s="14"/>
    </row>
    <row r="804" spans="1:13" s="289" customFormat="1" ht="61.5" customHeight="1" x14ac:dyDescent="0.3">
      <c r="A804" s="69"/>
      <c r="B804" s="8"/>
      <c r="C804" s="82" t="s">
        <v>222</v>
      </c>
      <c r="D804" s="34" t="s">
        <v>52</v>
      </c>
      <c r="E804" s="27" t="s">
        <v>23</v>
      </c>
      <c r="F804" s="72">
        <f>0.5*5.1+(3.2*4.5)*2</f>
        <v>31.35</v>
      </c>
      <c r="G804" s="11" t="s">
        <v>53</v>
      </c>
      <c r="H804" s="37">
        <v>0.8</v>
      </c>
      <c r="I804" s="79">
        <v>1.1479999999999999</v>
      </c>
      <c r="J804" s="223">
        <f t="shared" si="104"/>
        <v>6795000</v>
      </c>
      <c r="K804" s="32">
        <f t="shared" si="105"/>
        <v>6795000</v>
      </c>
      <c r="L804" s="261">
        <f t="shared" si="106"/>
        <v>0</v>
      </c>
      <c r="M804" s="14"/>
    </row>
    <row r="805" spans="1:13" s="289" customFormat="1" ht="61.5" customHeight="1" x14ac:dyDescent="0.3">
      <c r="A805" s="69"/>
      <c r="B805" s="8"/>
      <c r="C805" s="143" t="s">
        <v>223</v>
      </c>
      <c r="D805" s="34" t="s">
        <v>29</v>
      </c>
      <c r="E805" s="27" t="s">
        <v>23</v>
      </c>
      <c r="F805" s="28">
        <f>(4.5*1.7)*2</f>
        <v>15.299999999999999</v>
      </c>
      <c r="G805" s="29">
        <v>792000</v>
      </c>
      <c r="H805" s="37">
        <v>0.8</v>
      </c>
      <c r="I805" s="31">
        <v>1.1479999999999999</v>
      </c>
      <c r="J805" s="223">
        <f t="shared" si="104"/>
        <v>11129000</v>
      </c>
      <c r="K805" s="32">
        <f t="shared" si="105"/>
        <v>11129000</v>
      </c>
      <c r="L805" s="261">
        <f t="shared" si="106"/>
        <v>0</v>
      </c>
      <c r="M805" s="14"/>
    </row>
    <row r="806" spans="1:13" s="289" customFormat="1" ht="61.5" customHeight="1" x14ac:dyDescent="0.3">
      <c r="A806" s="104"/>
      <c r="B806" s="105"/>
      <c r="C806" s="113" t="s">
        <v>224</v>
      </c>
      <c r="D806" s="42" t="s">
        <v>225</v>
      </c>
      <c r="E806" s="96" t="s">
        <v>91</v>
      </c>
      <c r="F806" s="123">
        <f>(1.5*4.5)*2</f>
        <v>13.5</v>
      </c>
      <c r="G806" s="29">
        <v>527000</v>
      </c>
      <c r="H806" s="50">
        <v>0.8</v>
      </c>
      <c r="I806" s="151">
        <v>1.1479999999999999</v>
      </c>
      <c r="J806" s="223">
        <f t="shared" si="104"/>
        <v>6534000</v>
      </c>
      <c r="K806" s="32">
        <f t="shared" si="105"/>
        <v>6534000</v>
      </c>
      <c r="L806" s="261">
        <f t="shared" si="106"/>
        <v>0</v>
      </c>
      <c r="M806" s="14"/>
    </row>
    <row r="807" spans="1:13" s="289" customFormat="1" ht="61.5" customHeight="1" x14ac:dyDescent="0.3">
      <c r="A807" s="69"/>
      <c r="B807" s="8"/>
      <c r="C807" s="82" t="s">
        <v>226</v>
      </c>
      <c r="D807" s="9" t="s">
        <v>88</v>
      </c>
      <c r="E807" s="8" t="s">
        <v>25</v>
      </c>
      <c r="F807" s="91">
        <f>(0.3*0.5*3)*2</f>
        <v>0.89999999999999991</v>
      </c>
      <c r="G807" s="11">
        <v>2828000</v>
      </c>
      <c r="H807" s="37">
        <v>0.8</v>
      </c>
      <c r="I807" s="31">
        <v>1.1479999999999999</v>
      </c>
      <c r="J807" s="223">
        <f t="shared" si="104"/>
        <v>2338000</v>
      </c>
      <c r="K807" s="32">
        <f t="shared" si="105"/>
        <v>2338000</v>
      </c>
      <c r="L807" s="261">
        <f t="shared" si="106"/>
        <v>0</v>
      </c>
      <c r="M807" s="14"/>
    </row>
    <row r="808" spans="1:13" s="289" customFormat="1" ht="61.5" customHeight="1" x14ac:dyDescent="0.3">
      <c r="A808" s="69"/>
      <c r="B808" s="8"/>
      <c r="C808" s="82" t="s">
        <v>227</v>
      </c>
      <c r="D808" s="44" t="s">
        <v>33</v>
      </c>
      <c r="E808" s="27" t="s">
        <v>23</v>
      </c>
      <c r="F808" s="89">
        <f>5.7*2.25</f>
        <v>12.825000000000001</v>
      </c>
      <c r="G808" s="29">
        <v>453000</v>
      </c>
      <c r="H808" s="45">
        <v>0.8</v>
      </c>
      <c r="I808" s="31">
        <v>1.1479999999999999</v>
      </c>
      <c r="J808" s="223">
        <f t="shared" si="104"/>
        <v>5336000</v>
      </c>
      <c r="K808" s="32">
        <f t="shared" si="105"/>
        <v>5336000</v>
      </c>
      <c r="L808" s="261">
        <f t="shared" si="106"/>
        <v>0</v>
      </c>
      <c r="M808" s="14"/>
    </row>
    <row r="809" spans="1:13" s="289" customFormat="1" ht="61.5" customHeight="1" x14ac:dyDescent="0.3">
      <c r="A809" s="69"/>
      <c r="B809" s="8"/>
      <c r="C809" s="82" t="s">
        <v>228</v>
      </c>
      <c r="D809" s="42" t="s">
        <v>54</v>
      </c>
      <c r="E809" s="27" t="s">
        <v>23</v>
      </c>
      <c r="F809" s="72">
        <f>3.5*5.6+(3.5*1.5)*2+2*5</f>
        <v>40.099999999999994</v>
      </c>
      <c r="G809" s="46">
        <v>213000</v>
      </c>
      <c r="H809" s="30">
        <v>0.8</v>
      </c>
      <c r="I809" s="31">
        <v>1.1479999999999999</v>
      </c>
      <c r="J809" s="223">
        <f t="shared" si="104"/>
        <v>7844000</v>
      </c>
      <c r="K809" s="32">
        <f t="shared" si="105"/>
        <v>7844000</v>
      </c>
      <c r="L809" s="261">
        <f t="shared" si="106"/>
        <v>0</v>
      </c>
      <c r="M809" s="14"/>
    </row>
    <row r="810" spans="1:13" s="289" customFormat="1" ht="61.5" customHeight="1" x14ac:dyDescent="0.3">
      <c r="A810" s="117"/>
      <c r="B810" s="118"/>
      <c r="C810" s="106" t="s">
        <v>229</v>
      </c>
      <c r="D810" s="34" t="s">
        <v>80</v>
      </c>
      <c r="E810" s="71" t="s">
        <v>23</v>
      </c>
      <c r="F810" s="152">
        <f>1.5*5.6</f>
        <v>8.3999999999999986</v>
      </c>
      <c r="G810" s="29">
        <v>385000</v>
      </c>
      <c r="H810" s="37">
        <v>0.8</v>
      </c>
      <c r="I810" s="31">
        <v>1.1479999999999999</v>
      </c>
      <c r="J810" s="223">
        <f t="shared" si="104"/>
        <v>2970000</v>
      </c>
      <c r="K810" s="32">
        <f t="shared" si="105"/>
        <v>2970000</v>
      </c>
      <c r="L810" s="261">
        <f t="shared" si="106"/>
        <v>0</v>
      </c>
      <c r="M810" s="14"/>
    </row>
    <row r="811" spans="1:13" s="289" customFormat="1" ht="61.5" customHeight="1" x14ac:dyDescent="0.3">
      <c r="A811" s="69"/>
      <c r="B811" s="8"/>
      <c r="C811" s="82" t="s">
        <v>230</v>
      </c>
      <c r="D811" s="34" t="s">
        <v>55</v>
      </c>
      <c r="E811" s="27" t="s">
        <v>23</v>
      </c>
      <c r="F811" s="72">
        <f>5.9*3.4</f>
        <v>20.060000000000002</v>
      </c>
      <c r="G811" s="29">
        <v>905000</v>
      </c>
      <c r="H811" s="37">
        <v>0.8</v>
      </c>
      <c r="I811" s="79">
        <v>1.1479999999999999</v>
      </c>
      <c r="J811" s="223">
        <f t="shared" si="104"/>
        <v>16673000</v>
      </c>
      <c r="K811" s="32">
        <f t="shared" si="105"/>
        <v>16673000</v>
      </c>
      <c r="L811" s="261">
        <f t="shared" si="106"/>
        <v>0</v>
      </c>
      <c r="M811" s="14"/>
    </row>
    <row r="812" spans="1:13" s="289" customFormat="1" ht="61.5" customHeight="1" x14ac:dyDescent="0.3">
      <c r="A812" s="69"/>
      <c r="B812" s="8"/>
      <c r="C812" s="82" t="s">
        <v>854</v>
      </c>
      <c r="D812" s="34" t="s">
        <v>51</v>
      </c>
      <c r="E812" s="27" t="s">
        <v>23</v>
      </c>
      <c r="F812" s="72">
        <f>1.1*5.9</f>
        <v>6.4900000000000011</v>
      </c>
      <c r="G812" s="29">
        <v>453000</v>
      </c>
      <c r="H812" s="37">
        <v>0.8</v>
      </c>
      <c r="I812" s="31">
        <v>1.1479999999999999</v>
      </c>
      <c r="J812" s="223">
        <f t="shared" si="104"/>
        <v>2700000</v>
      </c>
      <c r="K812" s="32">
        <f t="shared" si="105"/>
        <v>2700000</v>
      </c>
      <c r="L812" s="261">
        <f t="shared" si="106"/>
        <v>0</v>
      </c>
      <c r="M812" s="14"/>
    </row>
    <row r="813" spans="1:13" s="289" customFormat="1" ht="61.5" customHeight="1" x14ac:dyDescent="0.3">
      <c r="A813" s="149">
        <v>43</v>
      </c>
      <c r="B813" s="150" t="s">
        <v>231</v>
      </c>
      <c r="C813" s="455" t="s">
        <v>232</v>
      </c>
      <c r="D813" s="456"/>
      <c r="E813" s="456"/>
      <c r="F813" s="456"/>
      <c r="G813" s="456"/>
      <c r="H813" s="456"/>
      <c r="I813" s="457"/>
      <c r="J813" s="221">
        <f>SUM(J814:J822)</f>
        <v>290429000</v>
      </c>
      <c r="K813" s="32">
        <f t="shared" si="105"/>
        <v>0</v>
      </c>
      <c r="L813" s="261">
        <f t="shared" si="106"/>
        <v>290429000</v>
      </c>
      <c r="M813" s="24"/>
    </row>
    <row r="814" spans="1:13" s="289" customFormat="1" ht="90" customHeight="1" x14ac:dyDescent="0.3">
      <c r="A814" s="67"/>
      <c r="B814" s="68"/>
      <c r="C814" s="20" t="s">
        <v>233</v>
      </c>
      <c r="D814" s="26"/>
      <c r="E814" s="27" t="s">
        <v>23</v>
      </c>
      <c r="F814" s="35">
        <v>53.4</v>
      </c>
      <c r="G814" s="464" t="s">
        <v>1152</v>
      </c>
      <c r="H814" s="464"/>
      <c r="I814" s="465"/>
      <c r="J814" s="227"/>
      <c r="K814" s="32"/>
      <c r="L814" s="261">
        <f t="shared" si="106"/>
        <v>0</v>
      </c>
      <c r="M814" s="14"/>
    </row>
    <row r="815" spans="1:13" s="289" customFormat="1" ht="72" customHeight="1" x14ac:dyDescent="0.3">
      <c r="A815" s="69"/>
      <c r="B815" s="8"/>
      <c r="C815" s="82" t="s">
        <v>234</v>
      </c>
      <c r="D815" s="81" t="s">
        <v>113</v>
      </c>
      <c r="E815" s="27" t="s">
        <v>23</v>
      </c>
      <c r="F815" s="75">
        <f>12.1*6.3</f>
        <v>76.22999999999999</v>
      </c>
      <c r="G815" s="29">
        <v>3224000</v>
      </c>
      <c r="H815" s="101">
        <v>0.8</v>
      </c>
      <c r="I815" s="102">
        <v>1.1479999999999999</v>
      </c>
      <c r="J815" s="223">
        <f t="shared" ref="J815:J822" si="107">ROUND(F815*G815*H815*I815,-3)</f>
        <v>225711000</v>
      </c>
      <c r="K815" s="32">
        <f t="shared" ref="K815:K823" si="108">ROUND(G815*H815*I815*F815,-3)</f>
        <v>225711000</v>
      </c>
      <c r="L815" s="261">
        <f t="shared" si="106"/>
        <v>0</v>
      </c>
      <c r="M815" s="14"/>
    </row>
    <row r="816" spans="1:13" s="289" customFormat="1" ht="61.5" customHeight="1" x14ac:dyDescent="0.3">
      <c r="A816" s="69"/>
      <c r="B816" s="8"/>
      <c r="C816" s="82" t="s">
        <v>235</v>
      </c>
      <c r="D816" s="42" t="s">
        <v>54</v>
      </c>
      <c r="E816" s="27" t="s">
        <v>23</v>
      </c>
      <c r="F816" s="72">
        <f>11.7*6.1</f>
        <v>71.36999999999999</v>
      </c>
      <c r="G816" s="46">
        <v>213000</v>
      </c>
      <c r="H816" s="30">
        <v>0.8</v>
      </c>
      <c r="I816" s="31">
        <v>1.1479999999999999</v>
      </c>
      <c r="J816" s="223">
        <f t="shared" si="107"/>
        <v>13961000</v>
      </c>
      <c r="K816" s="32">
        <f t="shared" si="108"/>
        <v>13961000</v>
      </c>
      <c r="L816" s="261"/>
      <c r="M816" s="14"/>
    </row>
    <row r="817" spans="1:13" s="289" customFormat="1" ht="61.5" customHeight="1" x14ac:dyDescent="0.3">
      <c r="A817" s="69"/>
      <c r="B817" s="8"/>
      <c r="C817" s="82" t="s">
        <v>236</v>
      </c>
      <c r="D817" s="42" t="s">
        <v>54</v>
      </c>
      <c r="E817" s="27" t="s">
        <v>23</v>
      </c>
      <c r="F817" s="72">
        <f>19.9*3.05+6.1*0.5+2.5*3.05</f>
        <v>71.36999999999999</v>
      </c>
      <c r="G817" s="46">
        <v>213000</v>
      </c>
      <c r="H817" s="52">
        <v>0.8</v>
      </c>
      <c r="I817" s="57">
        <v>1.1479999999999999</v>
      </c>
      <c r="J817" s="223">
        <f t="shared" si="107"/>
        <v>13961000</v>
      </c>
      <c r="K817" s="32">
        <f t="shared" si="108"/>
        <v>13961000</v>
      </c>
      <c r="L817" s="262">
        <f t="shared" ref="L817:L840" si="109">J817-K817</f>
        <v>0</v>
      </c>
      <c r="M817" s="14"/>
    </row>
    <row r="818" spans="1:13" s="289" customFormat="1" ht="61.5" customHeight="1" x14ac:dyDescent="0.3">
      <c r="A818" s="69"/>
      <c r="B818" s="8"/>
      <c r="C818" s="82" t="s">
        <v>237</v>
      </c>
      <c r="D818" s="34" t="s">
        <v>31</v>
      </c>
      <c r="E818" s="27" t="s">
        <v>23</v>
      </c>
      <c r="F818" s="75">
        <f>4.2*6.3</f>
        <v>26.46</v>
      </c>
      <c r="G818" s="29">
        <v>339000</v>
      </c>
      <c r="H818" s="37">
        <v>0.8</v>
      </c>
      <c r="I818" s="31">
        <v>1.1479999999999999</v>
      </c>
      <c r="J818" s="223">
        <f t="shared" si="107"/>
        <v>8238000</v>
      </c>
      <c r="K818" s="32">
        <f t="shared" si="108"/>
        <v>8238000</v>
      </c>
      <c r="L818" s="262">
        <f t="shared" si="109"/>
        <v>0</v>
      </c>
      <c r="M818" s="14"/>
    </row>
    <row r="819" spans="1:13" s="289" customFormat="1" ht="61.5" customHeight="1" x14ac:dyDescent="0.3">
      <c r="A819" s="69"/>
      <c r="B819" s="8"/>
      <c r="C819" s="82" t="s">
        <v>238</v>
      </c>
      <c r="D819" s="26" t="s">
        <v>56</v>
      </c>
      <c r="E819" s="27" t="s">
        <v>23</v>
      </c>
      <c r="F819" s="72">
        <f>5.75*3.05</f>
        <v>17.537499999999998</v>
      </c>
      <c r="G819" s="29">
        <v>735000</v>
      </c>
      <c r="H819" s="37">
        <v>0.8</v>
      </c>
      <c r="I819" s="31">
        <v>1.1479999999999999</v>
      </c>
      <c r="J819" s="223">
        <f t="shared" si="107"/>
        <v>11838000</v>
      </c>
      <c r="K819" s="32">
        <f t="shared" si="108"/>
        <v>11838000</v>
      </c>
      <c r="L819" s="261">
        <f t="shared" si="109"/>
        <v>0</v>
      </c>
      <c r="M819" s="14"/>
    </row>
    <row r="820" spans="1:13" s="289" customFormat="1" ht="61.5" customHeight="1" x14ac:dyDescent="0.3">
      <c r="A820" s="69"/>
      <c r="B820" s="8"/>
      <c r="C820" s="82" t="s">
        <v>239</v>
      </c>
      <c r="D820" s="34" t="s">
        <v>55</v>
      </c>
      <c r="E820" s="27" t="s">
        <v>23</v>
      </c>
      <c r="F820" s="72">
        <f>3.1*6.3</f>
        <v>19.53</v>
      </c>
      <c r="G820" s="29">
        <v>905000</v>
      </c>
      <c r="H820" s="37">
        <v>0.8</v>
      </c>
      <c r="I820" s="79">
        <v>1.1479999999999999</v>
      </c>
      <c r="J820" s="223">
        <f t="shared" si="107"/>
        <v>16232000</v>
      </c>
      <c r="K820" s="32">
        <f t="shared" si="108"/>
        <v>16232000</v>
      </c>
      <c r="L820" s="261">
        <f t="shared" si="109"/>
        <v>0</v>
      </c>
      <c r="M820" s="14"/>
    </row>
    <row r="821" spans="1:13" s="289" customFormat="1" ht="61.5" customHeight="1" x14ac:dyDescent="0.3">
      <c r="A821" s="69"/>
      <c r="B821" s="8"/>
      <c r="C821" s="82" t="s">
        <v>240</v>
      </c>
      <c r="D821" s="62" t="s">
        <v>44</v>
      </c>
      <c r="E821" s="63" t="s">
        <v>45</v>
      </c>
      <c r="F821" s="77">
        <v>9.5</v>
      </c>
      <c r="G821" s="46">
        <v>28000</v>
      </c>
      <c r="H821" s="66">
        <v>0.8</v>
      </c>
      <c r="I821" s="31">
        <v>1.1479999999999999</v>
      </c>
      <c r="J821" s="223">
        <f t="shared" si="107"/>
        <v>244000</v>
      </c>
      <c r="K821" s="32">
        <f t="shared" si="108"/>
        <v>244000</v>
      </c>
      <c r="L821" s="261">
        <f t="shared" si="109"/>
        <v>0</v>
      </c>
      <c r="M821" s="14"/>
    </row>
    <row r="822" spans="1:13" s="289" customFormat="1" ht="61.5" customHeight="1" x14ac:dyDescent="0.3">
      <c r="A822" s="69"/>
      <c r="B822" s="8"/>
      <c r="C822" s="82" t="s">
        <v>241</v>
      </c>
      <c r="D822" s="42" t="s">
        <v>47</v>
      </c>
      <c r="E822" s="63" t="s">
        <v>45</v>
      </c>
      <c r="F822" s="77">
        <v>9.5</v>
      </c>
      <c r="G822" s="46">
        <v>28000</v>
      </c>
      <c r="H822" s="56">
        <v>0.8</v>
      </c>
      <c r="I822" s="31">
        <v>1.1479999999999999</v>
      </c>
      <c r="J822" s="223">
        <f t="shared" si="107"/>
        <v>244000</v>
      </c>
      <c r="K822" s="32">
        <f t="shared" si="108"/>
        <v>244000</v>
      </c>
      <c r="L822" s="261">
        <f t="shared" si="109"/>
        <v>0</v>
      </c>
      <c r="M822" s="14"/>
    </row>
    <row r="823" spans="1:13" s="289" customFormat="1" ht="61.5" customHeight="1" x14ac:dyDescent="0.3">
      <c r="A823" s="211">
        <v>44</v>
      </c>
      <c r="B823" s="17" t="s">
        <v>60</v>
      </c>
      <c r="C823" s="433" t="s">
        <v>1153</v>
      </c>
      <c r="D823" s="434"/>
      <c r="E823" s="434"/>
      <c r="F823" s="434"/>
      <c r="G823" s="434"/>
      <c r="H823" s="434"/>
      <c r="I823" s="435"/>
      <c r="J823" s="221">
        <f>SUM(J824:J835)</f>
        <v>323499000</v>
      </c>
      <c r="K823" s="32">
        <f t="shared" si="108"/>
        <v>0</v>
      </c>
      <c r="L823" s="261">
        <f t="shared" si="109"/>
        <v>323499000</v>
      </c>
      <c r="M823" s="14"/>
    </row>
    <row r="824" spans="1:13" s="289" customFormat="1" ht="90" customHeight="1" x14ac:dyDescent="0.3">
      <c r="A824" s="18"/>
      <c r="B824" s="19"/>
      <c r="C824" s="20" t="s">
        <v>61</v>
      </c>
      <c r="D824" s="21"/>
      <c r="E824" s="22" t="s">
        <v>23</v>
      </c>
      <c r="F824" s="23">
        <f>53.3+35</f>
        <v>88.3</v>
      </c>
      <c r="G824" s="464" t="s">
        <v>1152</v>
      </c>
      <c r="H824" s="464"/>
      <c r="I824" s="465"/>
      <c r="J824" s="222"/>
      <c r="K824" s="32"/>
      <c r="L824" s="261">
        <f t="shared" si="109"/>
        <v>0</v>
      </c>
      <c r="M824" s="24"/>
    </row>
    <row r="825" spans="1:13" s="289" customFormat="1" ht="72" customHeight="1" x14ac:dyDescent="0.3">
      <c r="A825" s="211"/>
      <c r="B825" s="17"/>
      <c r="C825" s="25" t="s">
        <v>62</v>
      </c>
      <c r="D825" s="81" t="s">
        <v>63</v>
      </c>
      <c r="E825" s="27" t="s">
        <v>23</v>
      </c>
      <c r="F825" s="41">
        <f>5.4*7.2+7*8.3</f>
        <v>96.980000000000018</v>
      </c>
      <c r="G825" s="49">
        <v>2975000</v>
      </c>
      <c r="H825" s="37">
        <v>0.8</v>
      </c>
      <c r="I825" s="31">
        <v>1.1479999999999999</v>
      </c>
      <c r="J825" s="223">
        <f t="shared" ref="J825:J835" si="110">ROUND(F825*G825*H825*I825,-3)</f>
        <v>264973000</v>
      </c>
      <c r="K825" s="32">
        <f t="shared" ref="K825:K836" si="111">ROUND(G825*H825*I825*F825,-3)</f>
        <v>264973000</v>
      </c>
      <c r="L825" s="261">
        <f t="shared" si="109"/>
        <v>0</v>
      </c>
      <c r="M825" s="14"/>
    </row>
    <row r="826" spans="1:13" s="289" customFormat="1" ht="61.5" customHeight="1" x14ac:dyDescent="0.3">
      <c r="A826" s="69"/>
      <c r="B826" s="8"/>
      <c r="C826" s="82" t="s">
        <v>64</v>
      </c>
      <c r="D826" s="26" t="s">
        <v>56</v>
      </c>
      <c r="E826" s="27" t="s">
        <v>23</v>
      </c>
      <c r="F826" s="72">
        <f>2.5*3</f>
        <v>7.5</v>
      </c>
      <c r="G826" s="29">
        <v>735000</v>
      </c>
      <c r="H826" s="37">
        <v>0.8</v>
      </c>
      <c r="I826" s="31">
        <v>1.1479999999999999</v>
      </c>
      <c r="J826" s="223">
        <f t="shared" si="110"/>
        <v>5063000</v>
      </c>
      <c r="K826" s="32">
        <f t="shared" si="111"/>
        <v>5063000</v>
      </c>
      <c r="L826" s="261">
        <f t="shared" si="109"/>
        <v>0</v>
      </c>
      <c r="M826" s="14"/>
    </row>
    <row r="827" spans="1:13" s="289" customFormat="1" ht="61.5" customHeight="1" x14ac:dyDescent="0.3">
      <c r="A827" s="69"/>
      <c r="B827" s="8"/>
      <c r="C827" s="82" t="s">
        <v>65</v>
      </c>
      <c r="D827" s="34" t="s">
        <v>66</v>
      </c>
      <c r="E827" s="27" t="s">
        <v>23</v>
      </c>
      <c r="F827" s="72">
        <f>7*0.8+3*2.8</f>
        <v>14</v>
      </c>
      <c r="G827" s="29">
        <v>339000</v>
      </c>
      <c r="H827" s="38">
        <v>0.8</v>
      </c>
      <c r="I827" s="31">
        <v>1.1479999999999999</v>
      </c>
      <c r="J827" s="223">
        <f t="shared" si="110"/>
        <v>4359000</v>
      </c>
      <c r="K827" s="32">
        <f t="shared" si="111"/>
        <v>4359000</v>
      </c>
      <c r="L827" s="261">
        <f t="shared" si="109"/>
        <v>0</v>
      </c>
      <c r="M827" s="14"/>
    </row>
    <row r="828" spans="1:13" s="289" customFormat="1" ht="61.5" customHeight="1" x14ac:dyDescent="0.3">
      <c r="A828" s="69"/>
      <c r="B828" s="8"/>
      <c r="C828" s="82" t="s">
        <v>67</v>
      </c>
      <c r="D828" s="34" t="s">
        <v>68</v>
      </c>
      <c r="E828" s="71" t="s">
        <v>23</v>
      </c>
      <c r="F828" s="72">
        <f>8.1*6.7</f>
        <v>54.269999999999996</v>
      </c>
      <c r="G828" s="46">
        <v>213000</v>
      </c>
      <c r="H828" s="37">
        <v>0.8</v>
      </c>
      <c r="I828" s="31">
        <v>1.1479999999999999</v>
      </c>
      <c r="J828" s="223">
        <f t="shared" si="110"/>
        <v>10616000</v>
      </c>
      <c r="K828" s="32">
        <f t="shared" si="111"/>
        <v>10616000</v>
      </c>
      <c r="L828" s="261">
        <f t="shared" si="109"/>
        <v>0</v>
      </c>
      <c r="M828" s="14"/>
    </row>
    <row r="829" spans="1:13" s="289" customFormat="1" ht="61.5" customHeight="1" x14ac:dyDescent="0.3">
      <c r="A829" s="69"/>
      <c r="B829" s="8"/>
      <c r="C829" s="82" t="s">
        <v>847</v>
      </c>
      <c r="D829" s="34" t="s">
        <v>51</v>
      </c>
      <c r="E829" s="27" t="s">
        <v>23</v>
      </c>
      <c r="F829" s="72">
        <f>12.3*2.6</f>
        <v>31.980000000000004</v>
      </c>
      <c r="G829" s="29">
        <v>453000</v>
      </c>
      <c r="H829" s="37">
        <v>0.8</v>
      </c>
      <c r="I829" s="31">
        <v>1.1479999999999999</v>
      </c>
      <c r="J829" s="223">
        <f t="shared" si="110"/>
        <v>13305000</v>
      </c>
      <c r="K829" s="32">
        <f t="shared" si="111"/>
        <v>13305000</v>
      </c>
      <c r="L829" s="261">
        <f t="shared" si="109"/>
        <v>0</v>
      </c>
      <c r="M829" s="14"/>
    </row>
    <row r="830" spans="1:13" s="289" customFormat="1" ht="61.5" customHeight="1" x14ac:dyDescent="0.3">
      <c r="A830" s="69"/>
      <c r="B830" s="8"/>
      <c r="C830" s="82" t="s">
        <v>69</v>
      </c>
      <c r="D830" s="42" t="s">
        <v>32</v>
      </c>
      <c r="E830" s="27" t="s">
        <v>23</v>
      </c>
      <c r="F830" s="72">
        <f>8.5*12.3</f>
        <v>104.55000000000001</v>
      </c>
      <c r="G830" s="29">
        <v>215000</v>
      </c>
      <c r="H830" s="43">
        <v>0.8</v>
      </c>
      <c r="I830" s="31">
        <v>1.1479999999999999</v>
      </c>
      <c r="J830" s="223">
        <f t="shared" si="110"/>
        <v>20644000</v>
      </c>
      <c r="K830" s="32">
        <f t="shared" si="111"/>
        <v>20644000</v>
      </c>
      <c r="L830" s="261">
        <f t="shared" si="109"/>
        <v>0</v>
      </c>
      <c r="M830" s="14"/>
    </row>
    <row r="831" spans="1:13" s="289" customFormat="1" ht="61.5" customHeight="1" x14ac:dyDescent="0.3">
      <c r="A831" s="69"/>
      <c r="B831" s="8"/>
      <c r="C831" s="83" t="s">
        <v>70</v>
      </c>
      <c r="D831" s="26" t="s">
        <v>24</v>
      </c>
      <c r="E831" s="84" t="s">
        <v>25</v>
      </c>
      <c r="F831" s="85">
        <f>1.05*5.4*0.2</f>
        <v>1.1340000000000001</v>
      </c>
      <c r="G831" s="86">
        <v>2828000</v>
      </c>
      <c r="H831" s="87">
        <v>0.8</v>
      </c>
      <c r="I831" s="88">
        <v>1.1479999999999999</v>
      </c>
      <c r="J831" s="223">
        <f t="shared" si="110"/>
        <v>2945000</v>
      </c>
      <c r="K831" s="32">
        <f t="shared" si="111"/>
        <v>2945000</v>
      </c>
      <c r="L831" s="261">
        <f t="shared" si="109"/>
        <v>0</v>
      </c>
      <c r="M831" s="14"/>
    </row>
    <row r="832" spans="1:13" s="289" customFormat="1" ht="61.5" customHeight="1" x14ac:dyDescent="0.3">
      <c r="A832" s="69"/>
      <c r="B832" s="8"/>
      <c r="C832" s="82" t="s">
        <v>71</v>
      </c>
      <c r="D832" s="42" t="s">
        <v>54</v>
      </c>
      <c r="E832" s="27" t="s">
        <v>23</v>
      </c>
      <c r="F832" s="72">
        <f>5.6*1.2</f>
        <v>6.72</v>
      </c>
      <c r="G832" s="46">
        <v>213000</v>
      </c>
      <c r="H832" s="52">
        <v>0.8</v>
      </c>
      <c r="I832" s="57">
        <v>1.1479999999999999</v>
      </c>
      <c r="J832" s="223">
        <f t="shared" si="110"/>
        <v>1315000</v>
      </c>
      <c r="K832" s="32">
        <f t="shared" si="111"/>
        <v>1315000</v>
      </c>
      <c r="L832" s="261">
        <f t="shared" si="109"/>
        <v>0</v>
      </c>
      <c r="M832" s="14"/>
    </row>
    <row r="833" spans="1:13" s="289" customFormat="1" ht="61.5" customHeight="1" x14ac:dyDescent="0.3">
      <c r="A833" s="69"/>
      <c r="B833" s="8"/>
      <c r="C833" s="82" t="s">
        <v>50</v>
      </c>
      <c r="D833" s="58" t="s">
        <v>41</v>
      </c>
      <c r="E833" s="59" t="s">
        <v>42</v>
      </c>
      <c r="F833" s="98">
        <v>2</v>
      </c>
      <c r="G833" s="11">
        <v>10650</v>
      </c>
      <c r="H833" s="60">
        <v>1</v>
      </c>
      <c r="I833" s="61">
        <v>1</v>
      </c>
      <c r="J833" s="223">
        <f t="shared" si="110"/>
        <v>21000</v>
      </c>
      <c r="K833" s="32">
        <f t="shared" si="111"/>
        <v>21000</v>
      </c>
      <c r="L833" s="261">
        <f t="shared" si="109"/>
        <v>0</v>
      </c>
      <c r="M833" s="14"/>
    </row>
    <row r="834" spans="1:13" s="289" customFormat="1" ht="61.5" customHeight="1" x14ac:dyDescent="0.3">
      <c r="A834" s="69"/>
      <c r="B834" s="8"/>
      <c r="C834" s="82" t="s">
        <v>72</v>
      </c>
      <c r="D834" s="62" t="s">
        <v>44</v>
      </c>
      <c r="E834" s="63" t="s">
        <v>45</v>
      </c>
      <c r="F834" s="77">
        <v>5</v>
      </c>
      <c r="G834" s="46">
        <v>28000</v>
      </c>
      <c r="H834" s="66">
        <v>0.8</v>
      </c>
      <c r="I834" s="31">
        <v>1.1479999999999999</v>
      </c>
      <c r="J834" s="223">
        <f t="shared" si="110"/>
        <v>129000</v>
      </c>
      <c r="K834" s="32">
        <f t="shared" si="111"/>
        <v>129000</v>
      </c>
      <c r="L834" s="261">
        <f t="shared" si="109"/>
        <v>0</v>
      </c>
      <c r="M834" s="14"/>
    </row>
    <row r="835" spans="1:13" s="289" customFormat="1" ht="61.5" customHeight="1" x14ac:dyDescent="0.3">
      <c r="A835" s="69"/>
      <c r="B835" s="8"/>
      <c r="C835" s="82" t="s">
        <v>73</v>
      </c>
      <c r="D835" s="42" t="s">
        <v>47</v>
      </c>
      <c r="E835" s="63" t="s">
        <v>45</v>
      </c>
      <c r="F835" s="74">
        <v>5</v>
      </c>
      <c r="G835" s="46">
        <v>28000</v>
      </c>
      <c r="H835" s="66">
        <v>0.8</v>
      </c>
      <c r="I835" s="31">
        <v>1.1479999999999999</v>
      </c>
      <c r="J835" s="223">
        <f t="shared" si="110"/>
        <v>129000</v>
      </c>
      <c r="K835" s="32">
        <f t="shared" si="111"/>
        <v>129000</v>
      </c>
      <c r="L835" s="261">
        <f t="shared" si="109"/>
        <v>0</v>
      </c>
      <c r="M835" s="14"/>
    </row>
    <row r="836" spans="1:13" s="289" customFormat="1" ht="61.5" customHeight="1" x14ac:dyDescent="0.3">
      <c r="A836" s="211">
        <v>45</v>
      </c>
      <c r="B836" s="17" t="s">
        <v>74</v>
      </c>
      <c r="C836" s="477" t="s">
        <v>75</v>
      </c>
      <c r="D836" s="478"/>
      <c r="E836" s="478"/>
      <c r="F836" s="478"/>
      <c r="G836" s="478"/>
      <c r="H836" s="478"/>
      <c r="I836" s="479"/>
      <c r="J836" s="221">
        <f>SUM(J837:J846)</f>
        <v>104847000</v>
      </c>
      <c r="K836" s="32">
        <f t="shared" si="111"/>
        <v>0</v>
      </c>
      <c r="L836" s="261">
        <f t="shared" si="109"/>
        <v>104847000</v>
      </c>
      <c r="M836" s="14"/>
    </row>
    <row r="837" spans="1:13" s="289" customFormat="1" ht="90" customHeight="1" x14ac:dyDescent="0.3">
      <c r="A837" s="18"/>
      <c r="B837" s="19"/>
      <c r="C837" s="20" t="s">
        <v>76</v>
      </c>
      <c r="D837" s="21"/>
      <c r="E837" s="22" t="s">
        <v>23</v>
      </c>
      <c r="F837" s="23">
        <v>43.1</v>
      </c>
      <c r="G837" s="464" t="s">
        <v>1152</v>
      </c>
      <c r="H837" s="464"/>
      <c r="I837" s="465"/>
      <c r="J837" s="222"/>
      <c r="K837" s="32"/>
      <c r="L837" s="261">
        <f t="shared" si="109"/>
        <v>0</v>
      </c>
      <c r="M837" s="24"/>
    </row>
    <row r="838" spans="1:13" s="289" customFormat="1" ht="61.5" customHeight="1" x14ac:dyDescent="0.3">
      <c r="A838" s="211"/>
      <c r="B838" s="17"/>
      <c r="C838" s="25" t="s">
        <v>848</v>
      </c>
      <c r="D838" s="34" t="s">
        <v>51</v>
      </c>
      <c r="E838" s="27" t="s">
        <v>23</v>
      </c>
      <c r="F838" s="28">
        <f>4.6*5.5</f>
        <v>25.299999999999997</v>
      </c>
      <c r="G838" s="29">
        <v>453000</v>
      </c>
      <c r="H838" s="37">
        <v>0.8</v>
      </c>
      <c r="I838" s="31">
        <v>1.1479999999999999</v>
      </c>
      <c r="J838" s="223">
        <f t="shared" ref="J838:J846" si="112">ROUND(F838*G838*H838*I838,-3)</f>
        <v>10526000</v>
      </c>
      <c r="K838" s="32">
        <f t="shared" ref="K838:K847" si="113">ROUND(G838*H838*I838*F838,-3)</f>
        <v>10526000</v>
      </c>
      <c r="L838" s="261">
        <f t="shared" si="109"/>
        <v>0</v>
      </c>
      <c r="M838" s="14"/>
    </row>
    <row r="839" spans="1:13" s="289" customFormat="1" ht="61.5" customHeight="1" x14ac:dyDescent="0.3">
      <c r="A839" s="211"/>
      <c r="B839" s="17"/>
      <c r="C839" s="25" t="s">
        <v>77</v>
      </c>
      <c r="D839" s="42" t="s">
        <v>32</v>
      </c>
      <c r="E839" s="27" t="s">
        <v>23</v>
      </c>
      <c r="F839" s="28">
        <f>5.5*5.5</f>
        <v>30.25</v>
      </c>
      <c r="G839" s="29">
        <v>215000</v>
      </c>
      <c r="H839" s="43">
        <v>0.8</v>
      </c>
      <c r="I839" s="31">
        <v>1.1479999999999999</v>
      </c>
      <c r="J839" s="223">
        <f t="shared" si="112"/>
        <v>5973000</v>
      </c>
      <c r="K839" s="32">
        <f t="shared" si="113"/>
        <v>5973000</v>
      </c>
      <c r="L839" s="261">
        <f t="shared" si="109"/>
        <v>0</v>
      </c>
      <c r="M839" s="14"/>
    </row>
    <row r="840" spans="1:13" s="289" customFormat="1" ht="61.5" customHeight="1" x14ac:dyDescent="0.3">
      <c r="A840" s="69"/>
      <c r="B840" s="8"/>
      <c r="C840" s="82" t="s">
        <v>78</v>
      </c>
      <c r="D840" s="34" t="s">
        <v>31</v>
      </c>
      <c r="E840" s="27" t="s">
        <v>23</v>
      </c>
      <c r="F840" s="75">
        <f>4.5*5.5</f>
        <v>24.75</v>
      </c>
      <c r="G840" s="29">
        <v>339000</v>
      </c>
      <c r="H840" s="37">
        <v>0.8</v>
      </c>
      <c r="I840" s="31">
        <v>1.1479999999999999</v>
      </c>
      <c r="J840" s="223">
        <f t="shared" si="112"/>
        <v>7706000</v>
      </c>
      <c r="K840" s="32">
        <f t="shared" si="113"/>
        <v>7706000</v>
      </c>
      <c r="L840" s="261">
        <f t="shared" si="109"/>
        <v>0</v>
      </c>
      <c r="M840" s="14"/>
    </row>
    <row r="841" spans="1:13" s="289" customFormat="1" ht="61.5" customHeight="1" x14ac:dyDescent="0.3">
      <c r="A841" s="69"/>
      <c r="B841" s="8"/>
      <c r="C841" s="82" t="s">
        <v>79</v>
      </c>
      <c r="D841" s="34" t="s">
        <v>52</v>
      </c>
      <c r="E841" s="71" t="s">
        <v>23</v>
      </c>
      <c r="F841" s="72">
        <f>6.85*3.5</f>
        <v>23.974999999999998</v>
      </c>
      <c r="G841" s="11" t="s">
        <v>53</v>
      </c>
      <c r="H841" s="37">
        <v>0.8</v>
      </c>
      <c r="I841" s="31">
        <v>1.1479999999999999</v>
      </c>
      <c r="J841" s="223">
        <f t="shared" si="112"/>
        <v>5196000</v>
      </c>
      <c r="K841" s="32">
        <f t="shared" si="113"/>
        <v>5196000</v>
      </c>
      <c r="L841" s="261"/>
      <c r="M841" s="14"/>
    </row>
    <row r="842" spans="1:13" s="289" customFormat="1" ht="44.25" customHeight="1" x14ac:dyDescent="0.3">
      <c r="A842" s="69"/>
      <c r="B842" s="8"/>
      <c r="C842" s="82" t="s">
        <v>868</v>
      </c>
      <c r="D842" s="34" t="s">
        <v>80</v>
      </c>
      <c r="E842" s="71" t="s">
        <v>23</v>
      </c>
      <c r="F842" s="72">
        <f>2.05*4.6+5.3*3.8</f>
        <v>29.569999999999993</v>
      </c>
      <c r="G842" s="29">
        <v>385000</v>
      </c>
      <c r="H842" s="37">
        <v>0.8</v>
      </c>
      <c r="I842" s="31">
        <v>1.1479999999999999</v>
      </c>
      <c r="J842" s="223">
        <f t="shared" si="112"/>
        <v>10455000</v>
      </c>
      <c r="K842" s="32">
        <f t="shared" si="113"/>
        <v>10455000</v>
      </c>
      <c r="L842" s="262">
        <f t="shared" ref="L842:L855" si="114">J842-K842</f>
        <v>0</v>
      </c>
      <c r="M842" s="14"/>
    </row>
    <row r="843" spans="1:13" s="289" customFormat="1" ht="72" customHeight="1" x14ac:dyDescent="0.3">
      <c r="A843" s="69"/>
      <c r="B843" s="8"/>
      <c r="C843" s="82" t="s">
        <v>81</v>
      </c>
      <c r="D843" s="81" t="s">
        <v>63</v>
      </c>
      <c r="E843" s="27" t="s">
        <v>23</v>
      </c>
      <c r="F843" s="89">
        <f>5.8*3.8</f>
        <v>22.04</v>
      </c>
      <c r="G843" s="49">
        <v>2975000</v>
      </c>
      <c r="H843" s="37">
        <v>0.8</v>
      </c>
      <c r="I843" s="31">
        <v>1.1479999999999999</v>
      </c>
      <c r="J843" s="223">
        <f t="shared" si="112"/>
        <v>60219000</v>
      </c>
      <c r="K843" s="32">
        <f t="shared" si="113"/>
        <v>60219000</v>
      </c>
      <c r="L843" s="261">
        <f t="shared" si="114"/>
        <v>0</v>
      </c>
      <c r="M843" s="14"/>
    </row>
    <row r="844" spans="1:13" s="289" customFormat="1" ht="61.5" customHeight="1" x14ac:dyDescent="0.3">
      <c r="A844" s="69"/>
      <c r="B844" s="8"/>
      <c r="C844" s="82" t="s">
        <v>1030</v>
      </c>
      <c r="D844" s="34" t="s">
        <v>66</v>
      </c>
      <c r="E844" s="27" t="s">
        <v>23</v>
      </c>
      <c r="F844" s="72">
        <f>(3.8*1.2)*2+0.85*1.8+1.1*3.5</f>
        <v>14.5</v>
      </c>
      <c r="G844" s="29">
        <v>339000</v>
      </c>
      <c r="H844" s="38">
        <v>0.8</v>
      </c>
      <c r="I844" s="31">
        <v>1.1479999999999999</v>
      </c>
      <c r="J844" s="223">
        <f t="shared" si="112"/>
        <v>4514000</v>
      </c>
      <c r="K844" s="32">
        <f t="shared" si="113"/>
        <v>4514000</v>
      </c>
      <c r="L844" s="261">
        <f t="shared" si="114"/>
        <v>0</v>
      </c>
      <c r="M844" s="14"/>
    </row>
    <row r="845" spans="1:13" s="289" customFormat="1" ht="61.5" customHeight="1" x14ac:dyDescent="0.3">
      <c r="A845" s="69"/>
      <c r="B845" s="8"/>
      <c r="C845" s="82" t="s">
        <v>82</v>
      </c>
      <c r="D845" s="42" t="s">
        <v>47</v>
      </c>
      <c r="E845" s="63" t="s">
        <v>45</v>
      </c>
      <c r="F845" s="77">
        <v>5</v>
      </c>
      <c r="G845" s="46">
        <v>28000</v>
      </c>
      <c r="H845" s="66">
        <v>0.8</v>
      </c>
      <c r="I845" s="31">
        <v>1.1479999999999999</v>
      </c>
      <c r="J845" s="223">
        <f t="shared" si="112"/>
        <v>129000</v>
      </c>
      <c r="K845" s="32">
        <f t="shared" si="113"/>
        <v>129000</v>
      </c>
      <c r="L845" s="261">
        <f t="shared" si="114"/>
        <v>0</v>
      </c>
      <c r="M845" s="14"/>
    </row>
    <row r="846" spans="1:13" s="289" customFormat="1" ht="61.5" customHeight="1" x14ac:dyDescent="0.3">
      <c r="A846" s="69"/>
      <c r="B846" s="8"/>
      <c r="C846" s="82" t="s">
        <v>83</v>
      </c>
      <c r="D846" s="42" t="s">
        <v>47</v>
      </c>
      <c r="E846" s="63" t="s">
        <v>45</v>
      </c>
      <c r="F846" s="77">
        <v>5</v>
      </c>
      <c r="G846" s="46">
        <v>28000</v>
      </c>
      <c r="H846" s="66">
        <v>0.8</v>
      </c>
      <c r="I846" s="31">
        <v>1.1479999999999999</v>
      </c>
      <c r="J846" s="223">
        <f t="shared" si="112"/>
        <v>129000</v>
      </c>
      <c r="K846" s="32">
        <f t="shared" si="113"/>
        <v>129000</v>
      </c>
      <c r="L846" s="261">
        <f t="shared" si="114"/>
        <v>0</v>
      </c>
      <c r="M846" s="14"/>
    </row>
    <row r="847" spans="1:13" s="289" customFormat="1" ht="61.5" customHeight="1" x14ac:dyDescent="0.3">
      <c r="A847" s="211">
        <v>46</v>
      </c>
      <c r="B847" s="17" t="s">
        <v>116</v>
      </c>
      <c r="C847" s="433" t="s">
        <v>117</v>
      </c>
      <c r="D847" s="434"/>
      <c r="E847" s="434"/>
      <c r="F847" s="434"/>
      <c r="G847" s="434"/>
      <c r="H847" s="434"/>
      <c r="I847" s="435"/>
      <c r="J847" s="221">
        <f>SUM(J848:J865)</f>
        <v>332559000</v>
      </c>
      <c r="K847" s="32">
        <f t="shared" si="113"/>
        <v>0</v>
      </c>
      <c r="L847" s="261">
        <f t="shared" si="114"/>
        <v>332559000</v>
      </c>
      <c r="M847" s="14"/>
    </row>
    <row r="848" spans="1:13" s="289" customFormat="1" ht="90" customHeight="1" x14ac:dyDescent="0.3">
      <c r="A848" s="211"/>
      <c r="B848" s="17"/>
      <c r="C848" s="20" t="s">
        <v>1045</v>
      </c>
      <c r="D848" s="26"/>
      <c r="E848" s="27" t="s">
        <v>23</v>
      </c>
      <c r="F848" s="35">
        <v>66.2</v>
      </c>
      <c r="G848" s="464" t="s">
        <v>1152</v>
      </c>
      <c r="H848" s="464"/>
      <c r="I848" s="465"/>
      <c r="J848" s="227"/>
      <c r="K848" s="32"/>
      <c r="L848" s="261">
        <f t="shared" si="114"/>
        <v>0</v>
      </c>
      <c r="M848" s="14"/>
    </row>
    <row r="849" spans="1:13" s="289" customFormat="1" ht="72" customHeight="1" x14ac:dyDescent="0.3">
      <c r="A849" s="69"/>
      <c r="B849" s="8"/>
      <c r="C849" s="82" t="s">
        <v>118</v>
      </c>
      <c r="D849" s="9" t="s">
        <v>113</v>
      </c>
      <c r="E849" s="27" t="s">
        <v>23</v>
      </c>
      <c r="F849" s="75">
        <f>7.8*8.75</f>
        <v>68.25</v>
      </c>
      <c r="G849" s="29">
        <v>3224000</v>
      </c>
      <c r="H849" s="37">
        <v>0.8</v>
      </c>
      <c r="I849" s="124">
        <v>1.1479999999999999</v>
      </c>
      <c r="J849" s="223">
        <f t="shared" ref="J849:J865" si="115">ROUND(F849*G849*H849*I849,-3)</f>
        <v>202083000</v>
      </c>
      <c r="K849" s="32">
        <f t="shared" ref="K849:K866" si="116">ROUND(G849*H849*I849*F849,-3)</f>
        <v>202083000</v>
      </c>
      <c r="L849" s="261">
        <f t="shared" si="114"/>
        <v>0</v>
      </c>
      <c r="M849" s="14"/>
    </row>
    <row r="850" spans="1:13" s="289" customFormat="1" ht="61.5" customHeight="1" x14ac:dyDescent="0.3">
      <c r="A850" s="69"/>
      <c r="B850" s="8"/>
      <c r="C850" s="82" t="s">
        <v>119</v>
      </c>
      <c r="D850" s="34" t="s">
        <v>80</v>
      </c>
      <c r="E850" s="71" t="s">
        <v>23</v>
      </c>
      <c r="F850" s="72">
        <f>7.6*8.55</f>
        <v>64.98</v>
      </c>
      <c r="G850" s="29">
        <v>385000</v>
      </c>
      <c r="H850" s="37">
        <v>0.8</v>
      </c>
      <c r="I850" s="31">
        <v>1.1479999999999999</v>
      </c>
      <c r="J850" s="223">
        <f t="shared" si="115"/>
        <v>22976000</v>
      </c>
      <c r="K850" s="32">
        <f t="shared" si="116"/>
        <v>22976000</v>
      </c>
      <c r="L850" s="261">
        <f t="shared" si="114"/>
        <v>0</v>
      </c>
      <c r="M850" s="14"/>
    </row>
    <row r="851" spans="1:13" s="289" customFormat="1" ht="61.5" customHeight="1" x14ac:dyDescent="0.3">
      <c r="A851" s="69"/>
      <c r="B851" s="8"/>
      <c r="C851" s="82" t="s">
        <v>120</v>
      </c>
      <c r="D851" s="34" t="s">
        <v>66</v>
      </c>
      <c r="E851" s="27" t="s">
        <v>23</v>
      </c>
      <c r="F851" s="72">
        <f>8.75*1.5+3.35*1.5+2.3*1.5</f>
        <v>21.599999999999998</v>
      </c>
      <c r="G851" s="29">
        <v>339000</v>
      </c>
      <c r="H851" s="38">
        <v>0.8</v>
      </c>
      <c r="I851" s="31">
        <v>1.1479999999999999</v>
      </c>
      <c r="J851" s="223">
        <f t="shared" si="115"/>
        <v>6725000</v>
      </c>
      <c r="K851" s="32">
        <f t="shared" si="116"/>
        <v>6725000</v>
      </c>
      <c r="L851" s="261">
        <f t="shared" si="114"/>
        <v>0</v>
      </c>
      <c r="M851" s="14"/>
    </row>
    <row r="852" spans="1:13" s="289" customFormat="1" ht="61.5" customHeight="1" x14ac:dyDescent="0.3">
      <c r="A852" s="69"/>
      <c r="B852" s="8"/>
      <c r="C852" s="82" t="s">
        <v>121</v>
      </c>
      <c r="D852" s="34" t="s">
        <v>66</v>
      </c>
      <c r="E852" s="27" t="s">
        <v>23</v>
      </c>
      <c r="F852" s="72">
        <f>1.7*1.5+2.4*4.4+3.2*1.2</f>
        <v>16.95</v>
      </c>
      <c r="G852" s="29">
        <v>339000</v>
      </c>
      <c r="H852" s="38">
        <v>0.8</v>
      </c>
      <c r="I852" s="31">
        <v>1.1479999999999999</v>
      </c>
      <c r="J852" s="223">
        <f t="shared" si="115"/>
        <v>5277000</v>
      </c>
      <c r="K852" s="32">
        <f t="shared" si="116"/>
        <v>5277000</v>
      </c>
      <c r="L852" s="261">
        <f t="shared" si="114"/>
        <v>0</v>
      </c>
      <c r="M852" s="14"/>
    </row>
    <row r="853" spans="1:13" s="289" customFormat="1" ht="61.5" customHeight="1" x14ac:dyDescent="0.3">
      <c r="A853" s="69"/>
      <c r="B853" s="8"/>
      <c r="C853" s="82" t="s">
        <v>122</v>
      </c>
      <c r="D853" s="34" t="s">
        <v>28</v>
      </c>
      <c r="E853" s="27" t="s">
        <v>23</v>
      </c>
      <c r="F853" s="72">
        <f>1.2*0.5</f>
        <v>0.6</v>
      </c>
      <c r="G853" s="11">
        <v>396000</v>
      </c>
      <c r="H853" s="38">
        <v>0.8</v>
      </c>
      <c r="I853" s="31">
        <v>1.1479999999999999</v>
      </c>
      <c r="J853" s="223">
        <f t="shared" si="115"/>
        <v>218000</v>
      </c>
      <c r="K853" s="32">
        <f t="shared" si="116"/>
        <v>218000</v>
      </c>
      <c r="L853" s="261">
        <f t="shared" si="114"/>
        <v>0</v>
      </c>
      <c r="M853" s="14"/>
    </row>
    <row r="854" spans="1:13" s="289" customFormat="1" ht="61.5" customHeight="1" x14ac:dyDescent="0.3">
      <c r="A854" s="69"/>
      <c r="B854" s="8"/>
      <c r="C854" s="82" t="s">
        <v>123</v>
      </c>
      <c r="D854" s="34" t="s">
        <v>55</v>
      </c>
      <c r="E854" s="27" t="s">
        <v>23</v>
      </c>
      <c r="F854" s="72">
        <f>7.8*2.4+(0.8*1.2)*2</f>
        <v>20.64</v>
      </c>
      <c r="G854" s="29">
        <v>905000</v>
      </c>
      <c r="H854" s="37">
        <v>0.8</v>
      </c>
      <c r="I854" s="79">
        <v>1.1479999999999999</v>
      </c>
      <c r="J854" s="223">
        <f t="shared" si="115"/>
        <v>17155000</v>
      </c>
      <c r="K854" s="32">
        <f t="shared" si="116"/>
        <v>17155000</v>
      </c>
      <c r="L854" s="261">
        <f t="shared" si="114"/>
        <v>0</v>
      </c>
      <c r="M854" s="14"/>
    </row>
    <row r="855" spans="1:13" s="289" customFormat="1" ht="61.5" customHeight="1" x14ac:dyDescent="0.3">
      <c r="A855" s="69"/>
      <c r="B855" s="8"/>
      <c r="C855" s="82" t="s">
        <v>849</v>
      </c>
      <c r="D855" s="34" t="s">
        <v>51</v>
      </c>
      <c r="E855" s="27" t="s">
        <v>23</v>
      </c>
      <c r="F855" s="72">
        <f>2.7*7.8</f>
        <v>21.060000000000002</v>
      </c>
      <c r="G855" s="29">
        <v>453000</v>
      </c>
      <c r="H855" s="37">
        <v>0.8</v>
      </c>
      <c r="I855" s="31">
        <v>1.1479999999999999</v>
      </c>
      <c r="J855" s="223">
        <f t="shared" si="115"/>
        <v>8762000</v>
      </c>
      <c r="K855" s="32">
        <f t="shared" si="116"/>
        <v>8762000</v>
      </c>
      <c r="L855" s="261">
        <f t="shared" si="114"/>
        <v>0</v>
      </c>
      <c r="M855" s="14"/>
    </row>
    <row r="856" spans="1:13" s="289" customFormat="1" ht="61.5" customHeight="1" x14ac:dyDescent="0.3">
      <c r="A856" s="69"/>
      <c r="B856" s="8"/>
      <c r="C856" s="82" t="s">
        <v>124</v>
      </c>
      <c r="D856" s="42" t="s">
        <v>32</v>
      </c>
      <c r="E856" s="27" t="s">
        <v>23</v>
      </c>
      <c r="F856" s="72">
        <f>7.8*6</f>
        <v>46.8</v>
      </c>
      <c r="G856" s="29">
        <v>215000</v>
      </c>
      <c r="H856" s="43">
        <v>0.8</v>
      </c>
      <c r="I856" s="31">
        <v>1.1479999999999999</v>
      </c>
      <c r="J856" s="223">
        <f t="shared" si="115"/>
        <v>9241000</v>
      </c>
      <c r="K856" s="32">
        <f t="shared" si="116"/>
        <v>9241000</v>
      </c>
      <c r="L856" s="261"/>
      <c r="M856" s="14"/>
    </row>
    <row r="857" spans="1:13" s="289" customFormat="1" ht="61.5" customHeight="1" x14ac:dyDescent="0.3">
      <c r="A857" s="69"/>
      <c r="B857" s="8"/>
      <c r="C857" s="82" t="s">
        <v>125</v>
      </c>
      <c r="D857" s="26" t="s">
        <v>95</v>
      </c>
      <c r="E857" s="71" t="s">
        <v>25</v>
      </c>
      <c r="F857" s="72">
        <f>(7.8*0.15*0.3)*2</f>
        <v>0.70199999999999996</v>
      </c>
      <c r="G857" s="11">
        <v>1000000</v>
      </c>
      <c r="H857" s="38">
        <v>0.8</v>
      </c>
      <c r="I857" s="31">
        <v>1.1479999999999999</v>
      </c>
      <c r="J857" s="223">
        <f t="shared" si="115"/>
        <v>645000</v>
      </c>
      <c r="K857" s="32">
        <f t="shared" si="116"/>
        <v>645000</v>
      </c>
      <c r="L857" s="262"/>
      <c r="M857" s="14"/>
    </row>
    <row r="858" spans="1:13" s="289" customFormat="1" ht="61.5" customHeight="1" x14ac:dyDescent="0.3">
      <c r="A858" s="69"/>
      <c r="B858" s="8"/>
      <c r="C858" s="82" t="s">
        <v>126</v>
      </c>
      <c r="D858" s="34" t="s">
        <v>28</v>
      </c>
      <c r="E858" s="27" t="s">
        <v>23</v>
      </c>
      <c r="F858" s="72">
        <f>7.8*1</f>
        <v>7.8</v>
      </c>
      <c r="G858" s="11">
        <v>396000</v>
      </c>
      <c r="H858" s="38">
        <v>0.8</v>
      </c>
      <c r="I858" s="31">
        <v>1.1479999999999999</v>
      </c>
      <c r="J858" s="223">
        <f t="shared" si="115"/>
        <v>2837000</v>
      </c>
      <c r="K858" s="32">
        <f t="shared" si="116"/>
        <v>2837000</v>
      </c>
      <c r="L858" s="261">
        <f t="shared" ref="L858:L869" si="117">J858-K858</f>
        <v>0</v>
      </c>
      <c r="M858" s="14"/>
    </row>
    <row r="859" spans="1:13" s="289" customFormat="1" ht="61.5" customHeight="1" x14ac:dyDescent="0.3">
      <c r="A859" s="69"/>
      <c r="B859" s="8"/>
      <c r="C859" s="83" t="s">
        <v>127</v>
      </c>
      <c r="D859" s="26" t="s">
        <v>56</v>
      </c>
      <c r="E859" s="27" t="s">
        <v>23</v>
      </c>
      <c r="F859" s="92">
        <f>7.6*2.8</f>
        <v>21.279999999999998</v>
      </c>
      <c r="G859" s="29">
        <v>735000</v>
      </c>
      <c r="H859" s="37">
        <v>0.8</v>
      </c>
      <c r="I859" s="31">
        <v>1.1479999999999999</v>
      </c>
      <c r="J859" s="223">
        <f t="shared" si="115"/>
        <v>14365000</v>
      </c>
      <c r="K859" s="32">
        <f t="shared" si="116"/>
        <v>14365000</v>
      </c>
      <c r="L859" s="261">
        <f t="shared" si="117"/>
        <v>0</v>
      </c>
      <c r="M859" s="14"/>
    </row>
    <row r="860" spans="1:13" s="289" customFormat="1" ht="61.5" customHeight="1" x14ac:dyDescent="0.3">
      <c r="A860" s="117"/>
      <c r="B860" s="118"/>
      <c r="C860" s="82" t="s">
        <v>128</v>
      </c>
      <c r="D860" s="42" t="s">
        <v>54</v>
      </c>
      <c r="E860" s="27" t="s">
        <v>23</v>
      </c>
      <c r="F860" s="72">
        <f>(0.2*2.7)*3+2.6*1.1+1.1*22.7*7.8+2.2*1.2</f>
        <v>201.886</v>
      </c>
      <c r="G860" s="46">
        <v>213000</v>
      </c>
      <c r="H860" s="52">
        <v>0.8</v>
      </c>
      <c r="I860" s="57">
        <v>1.1479999999999999</v>
      </c>
      <c r="J860" s="223">
        <f t="shared" si="115"/>
        <v>39493000</v>
      </c>
      <c r="K860" s="32">
        <f t="shared" si="116"/>
        <v>39493000</v>
      </c>
      <c r="L860" s="261">
        <f t="shared" si="117"/>
        <v>0</v>
      </c>
      <c r="M860" s="14"/>
    </row>
    <row r="861" spans="1:13" s="289" customFormat="1" ht="61.5" customHeight="1" x14ac:dyDescent="0.3">
      <c r="A861" s="69"/>
      <c r="B861" s="8"/>
      <c r="C861" s="82" t="s">
        <v>129</v>
      </c>
      <c r="D861" s="34" t="s">
        <v>52</v>
      </c>
      <c r="E861" s="96" t="s">
        <v>91</v>
      </c>
      <c r="F861" s="72">
        <f>1.2*2.7</f>
        <v>3.24</v>
      </c>
      <c r="G861" s="11" t="s">
        <v>53</v>
      </c>
      <c r="H861" s="52">
        <v>0.8</v>
      </c>
      <c r="I861" s="125">
        <v>1</v>
      </c>
      <c r="J861" s="223">
        <f t="shared" si="115"/>
        <v>612000</v>
      </c>
      <c r="K861" s="32">
        <f t="shared" si="116"/>
        <v>612000</v>
      </c>
      <c r="L861" s="261">
        <f t="shared" si="117"/>
        <v>0</v>
      </c>
      <c r="M861" s="14"/>
    </row>
    <row r="862" spans="1:13" s="289" customFormat="1" ht="61.5" customHeight="1" x14ac:dyDescent="0.3">
      <c r="A862" s="69"/>
      <c r="B862" s="8"/>
      <c r="C862" s="82" t="s">
        <v>130</v>
      </c>
      <c r="D862" s="34" t="s">
        <v>29</v>
      </c>
      <c r="E862" s="27" t="s">
        <v>23</v>
      </c>
      <c r="F862" s="72">
        <f>4.2*0.35</f>
        <v>1.47</v>
      </c>
      <c r="G862" s="29">
        <v>792000</v>
      </c>
      <c r="H862" s="37">
        <v>0.8</v>
      </c>
      <c r="I862" s="31">
        <v>1.1479999999999999</v>
      </c>
      <c r="J862" s="223">
        <f t="shared" si="115"/>
        <v>1069000</v>
      </c>
      <c r="K862" s="32">
        <f t="shared" si="116"/>
        <v>1069000</v>
      </c>
      <c r="L862" s="261">
        <f t="shared" si="117"/>
        <v>0</v>
      </c>
      <c r="M862" s="14"/>
    </row>
    <row r="863" spans="1:13" s="289" customFormat="1" ht="61.5" customHeight="1" x14ac:dyDescent="0.3">
      <c r="A863" s="69"/>
      <c r="B863" s="8"/>
      <c r="C863" s="82" t="s">
        <v>131</v>
      </c>
      <c r="D863" s="34" t="s">
        <v>66</v>
      </c>
      <c r="E863" s="27" t="s">
        <v>23</v>
      </c>
      <c r="F863" s="91">
        <f>7.1*0.3</f>
        <v>2.13</v>
      </c>
      <c r="G863" s="29">
        <v>339000</v>
      </c>
      <c r="H863" s="38">
        <v>0.8</v>
      </c>
      <c r="I863" s="31">
        <v>1.1479999999999999</v>
      </c>
      <c r="J863" s="223">
        <f t="shared" si="115"/>
        <v>663000</v>
      </c>
      <c r="K863" s="32">
        <f t="shared" si="116"/>
        <v>663000</v>
      </c>
      <c r="L863" s="261">
        <f t="shared" si="117"/>
        <v>0</v>
      </c>
      <c r="M863" s="14"/>
    </row>
    <row r="864" spans="1:13" s="289" customFormat="1" ht="61.5" customHeight="1" x14ac:dyDescent="0.3">
      <c r="A864" s="104"/>
      <c r="B864" s="105"/>
      <c r="C864" s="113" t="s">
        <v>115</v>
      </c>
      <c r="D864" s="62" t="s">
        <v>44</v>
      </c>
      <c r="E864" s="126" t="s">
        <v>45</v>
      </c>
      <c r="F864" s="127">
        <v>8.5</v>
      </c>
      <c r="G864" s="46">
        <v>28000</v>
      </c>
      <c r="H864" s="66">
        <v>0.8</v>
      </c>
      <c r="I864" s="31">
        <v>1.1479999999999999</v>
      </c>
      <c r="J864" s="223">
        <f t="shared" si="115"/>
        <v>219000</v>
      </c>
      <c r="K864" s="32">
        <f t="shared" si="116"/>
        <v>219000</v>
      </c>
      <c r="L864" s="261">
        <f t="shared" si="117"/>
        <v>0</v>
      </c>
      <c r="M864" s="14"/>
    </row>
    <row r="865" spans="1:13" s="289" customFormat="1" ht="61.5" customHeight="1" x14ac:dyDescent="0.3">
      <c r="A865" s="69"/>
      <c r="B865" s="8"/>
      <c r="C865" s="113" t="s">
        <v>114</v>
      </c>
      <c r="D865" s="42" t="s">
        <v>47</v>
      </c>
      <c r="E865" s="63" t="s">
        <v>45</v>
      </c>
      <c r="F865" s="127">
        <v>8.5</v>
      </c>
      <c r="G865" s="46">
        <v>28000</v>
      </c>
      <c r="H865" s="66">
        <v>0.8</v>
      </c>
      <c r="I865" s="31">
        <v>1.1479999999999999</v>
      </c>
      <c r="J865" s="223">
        <f t="shared" si="115"/>
        <v>219000</v>
      </c>
      <c r="K865" s="32">
        <f t="shared" si="116"/>
        <v>219000</v>
      </c>
      <c r="L865" s="261">
        <f t="shared" si="117"/>
        <v>0</v>
      </c>
      <c r="M865" s="14"/>
    </row>
    <row r="866" spans="1:13" s="289" customFormat="1" ht="61.5" customHeight="1" x14ac:dyDescent="0.3">
      <c r="A866" s="67">
        <v>47</v>
      </c>
      <c r="B866" s="68" t="s">
        <v>132</v>
      </c>
      <c r="C866" s="433" t="s">
        <v>133</v>
      </c>
      <c r="D866" s="434"/>
      <c r="E866" s="434"/>
      <c r="F866" s="466"/>
      <c r="G866" s="434"/>
      <c r="H866" s="434"/>
      <c r="I866" s="467"/>
      <c r="J866" s="221">
        <f>SUM(J867:J876)</f>
        <v>558192000</v>
      </c>
      <c r="K866" s="32">
        <f t="shared" si="116"/>
        <v>0</v>
      </c>
      <c r="L866" s="261">
        <f t="shared" si="117"/>
        <v>558192000</v>
      </c>
      <c r="M866" s="14"/>
    </row>
    <row r="867" spans="1:13" s="289" customFormat="1" ht="90" customHeight="1" x14ac:dyDescent="0.3">
      <c r="A867" s="67"/>
      <c r="B867" s="68"/>
      <c r="C867" s="20" t="s">
        <v>1046</v>
      </c>
      <c r="D867" s="26"/>
      <c r="E867" s="27" t="s">
        <v>23</v>
      </c>
      <c r="F867" s="35">
        <v>45.2</v>
      </c>
      <c r="G867" s="464" t="s">
        <v>1152</v>
      </c>
      <c r="H867" s="464"/>
      <c r="I867" s="465"/>
      <c r="J867" s="227"/>
      <c r="K867" s="32"/>
      <c r="L867" s="261">
        <f t="shared" si="117"/>
        <v>0</v>
      </c>
      <c r="M867" s="14"/>
    </row>
    <row r="868" spans="1:13" s="289" customFormat="1" ht="72" customHeight="1" x14ac:dyDescent="0.3">
      <c r="A868" s="67"/>
      <c r="B868" s="68"/>
      <c r="C868" s="25" t="s">
        <v>134</v>
      </c>
      <c r="D868" s="9" t="s">
        <v>113</v>
      </c>
      <c r="E868" s="27" t="s">
        <v>23</v>
      </c>
      <c r="F868" s="41">
        <f>6.6*5.1</f>
        <v>33.659999999999997</v>
      </c>
      <c r="G868" s="29">
        <v>3224000</v>
      </c>
      <c r="H868" s="37">
        <v>0.8</v>
      </c>
      <c r="I868" s="124">
        <v>1.1479999999999999</v>
      </c>
      <c r="J868" s="223">
        <f t="shared" ref="J868:J876" si="118">ROUND(F868*G868*H868*I868,-3)</f>
        <v>99665000</v>
      </c>
      <c r="K868" s="32">
        <f t="shared" ref="K868:K877" si="119">ROUND(G868*H868*I868*F868,-3)</f>
        <v>99665000</v>
      </c>
      <c r="L868" s="261">
        <f t="shared" si="117"/>
        <v>0</v>
      </c>
      <c r="M868" s="14"/>
    </row>
    <row r="869" spans="1:13" s="289" customFormat="1" ht="72" customHeight="1" x14ac:dyDescent="0.3">
      <c r="A869" s="67"/>
      <c r="B869" s="68"/>
      <c r="C869" s="25" t="s">
        <v>135</v>
      </c>
      <c r="D869" s="81" t="s">
        <v>136</v>
      </c>
      <c r="E869" s="27" t="s">
        <v>23</v>
      </c>
      <c r="F869" s="41">
        <f>13.2*3.9+4.8*0.6+8.6*4.2</f>
        <v>90.47999999999999</v>
      </c>
      <c r="G869" s="32">
        <v>5046000</v>
      </c>
      <c r="H869" s="37">
        <v>0.8</v>
      </c>
      <c r="I869" s="124">
        <v>1.1479999999999999</v>
      </c>
      <c r="J869" s="223">
        <f t="shared" si="118"/>
        <v>419307000</v>
      </c>
      <c r="K869" s="32">
        <f t="shared" si="119"/>
        <v>419307000</v>
      </c>
      <c r="L869" s="261">
        <f t="shared" si="117"/>
        <v>0</v>
      </c>
      <c r="M869" s="14"/>
    </row>
    <row r="870" spans="1:13" s="289" customFormat="1" ht="61.5" customHeight="1" x14ac:dyDescent="0.3">
      <c r="A870" s="67"/>
      <c r="B870" s="68"/>
      <c r="C870" s="25" t="s">
        <v>137</v>
      </c>
      <c r="D870" s="34" t="s">
        <v>68</v>
      </c>
      <c r="E870" s="71" t="s">
        <v>23</v>
      </c>
      <c r="F870" s="28">
        <f>4.75*10.2</f>
        <v>48.449999999999996</v>
      </c>
      <c r="G870" s="46">
        <v>213000</v>
      </c>
      <c r="H870" s="37">
        <v>0.8</v>
      </c>
      <c r="I870" s="31">
        <v>1.1479999999999999</v>
      </c>
      <c r="J870" s="223">
        <f t="shared" si="118"/>
        <v>9478000</v>
      </c>
      <c r="K870" s="32">
        <f t="shared" si="119"/>
        <v>9478000</v>
      </c>
      <c r="L870" s="261"/>
      <c r="M870" s="14"/>
    </row>
    <row r="871" spans="1:13" s="289" customFormat="1" ht="61.5" customHeight="1" x14ac:dyDescent="0.3">
      <c r="A871" s="67"/>
      <c r="B871" s="68"/>
      <c r="C871" s="25" t="s">
        <v>850</v>
      </c>
      <c r="D871" s="34" t="s">
        <v>51</v>
      </c>
      <c r="E871" s="27" t="s">
        <v>23</v>
      </c>
      <c r="F871" s="28">
        <f>2.2*5.1</f>
        <v>11.22</v>
      </c>
      <c r="G871" s="29">
        <v>453000</v>
      </c>
      <c r="H871" s="37">
        <v>0.8</v>
      </c>
      <c r="I871" s="31">
        <v>1.1479999999999999</v>
      </c>
      <c r="J871" s="223">
        <f t="shared" si="118"/>
        <v>4668000</v>
      </c>
      <c r="K871" s="32">
        <f t="shared" si="119"/>
        <v>4668000</v>
      </c>
      <c r="L871" s="262">
        <f t="shared" ref="L871:L888" si="120">J871-K871</f>
        <v>0</v>
      </c>
      <c r="M871" s="14"/>
    </row>
    <row r="872" spans="1:13" s="289" customFormat="1" ht="61.5" customHeight="1" x14ac:dyDescent="0.3">
      <c r="A872" s="67"/>
      <c r="B872" s="68"/>
      <c r="C872" s="25" t="s">
        <v>138</v>
      </c>
      <c r="D872" s="42" t="s">
        <v>32</v>
      </c>
      <c r="E872" s="27" t="s">
        <v>23</v>
      </c>
      <c r="F872" s="28">
        <f>5.1*5.1</f>
        <v>26.009999999999998</v>
      </c>
      <c r="G872" s="29">
        <v>215000</v>
      </c>
      <c r="H872" s="43">
        <v>0.8</v>
      </c>
      <c r="I872" s="31">
        <v>1.1479999999999999</v>
      </c>
      <c r="J872" s="223">
        <f t="shared" si="118"/>
        <v>5136000</v>
      </c>
      <c r="K872" s="32">
        <f t="shared" si="119"/>
        <v>5136000</v>
      </c>
      <c r="L872" s="261">
        <f t="shared" si="120"/>
        <v>0</v>
      </c>
      <c r="M872" s="14"/>
    </row>
    <row r="873" spans="1:13" s="289" customFormat="1" ht="61.5" customHeight="1" x14ac:dyDescent="0.3">
      <c r="A873" s="67"/>
      <c r="B873" s="68"/>
      <c r="C873" s="25" t="s">
        <v>139</v>
      </c>
      <c r="D873" s="34" t="s">
        <v>55</v>
      </c>
      <c r="E873" s="96" t="s">
        <v>91</v>
      </c>
      <c r="F873" s="35">
        <f>5.1*1.2</f>
        <v>6.1199999999999992</v>
      </c>
      <c r="G873" s="29">
        <v>905000</v>
      </c>
      <c r="H873" s="37">
        <v>0.8</v>
      </c>
      <c r="I873" s="79">
        <v>1.1479999999999999</v>
      </c>
      <c r="J873" s="223">
        <f t="shared" si="118"/>
        <v>5087000</v>
      </c>
      <c r="K873" s="32">
        <f t="shared" si="119"/>
        <v>5087000</v>
      </c>
      <c r="L873" s="261">
        <f t="shared" si="120"/>
        <v>0</v>
      </c>
      <c r="M873" s="14"/>
    </row>
    <row r="874" spans="1:13" s="289" customFormat="1" ht="61.5" customHeight="1" x14ac:dyDescent="0.3">
      <c r="A874" s="67"/>
      <c r="B874" s="68"/>
      <c r="C874" s="25" t="s">
        <v>140</v>
      </c>
      <c r="D874" s="26" t="s">
        <v>56</v>
      </c>
      <c r="E874" s="27" t="s">
        <v>23</v>
      </c>
      <c r="F874" s="28">
        <f>2.4*3+4.8*3</f>
        <v>21.599999999999998</v>
      </c>
      <c r="G874" s="29">
        <v>735000</v>
      </c>
      <c r="H874" s="37">
        <v>0.8</v>
      </c>
      <c r="I874" s="31">
        <v>1.1479999999999999</v>
      </c>
      <c r="J874" s="223">
        <f t="shared" si="118"/>
        <v>14581000</v>
      </c>
      <c r="K874" s="32">
        <f t="shared" si="119"/>
        <v>14581000</v>
      </c>
      <c r="L874" s="261">
        <f t="shared" si="120"/>
        <v>0</v>
      </c>
      <c r="M874" s="14"/>
    </row>
    <row r="875" spans="1:13" s="289" customFormat="1" ht="61.5" customHeight="1" x14ac:dyDescent="0.3">
      <c r="A875" s="67"/>
      <c r="B875" s="68"/>
      <c r="C875" s="25" t="s">
        <v>141</v>
      </c>
      <c r="D875" s="97" t="s">
        <v>92</v>
      </c>
      <c r="E875" s="27" t="s">
        <v>35</v>
      </c>
      <c r="F875" s="48">
        <v>1</v>
      </c>
      <c r="G875" s="11">
        <v>16590</v>
      </c>
      <c r="H875" s="50">
        <v>0.8</v>
      </c>
      <c r="I875" s="51">
        <v>1</v>
      </c>
      <c r="J875" s="223">
        <f t="shared" si="118"/>
        <v>13000</v>
      </c>
      <c r="K875" s="32">
        <f t="shared" si="119"/>
        <v>13000</v>
      </c>
      <c r="L875" s="261">
        <f t="shared" si="120"/>
        <v>0</v>
      </c>
      <c r="M875" s="14"/>
    </row>
    <row r="876" spans="1:13" s="289" customFormat="1" ht="61.5" customHeight="1" x14ac:dyDescent="0.3">
      <c r="A876" s="67"/>
      <c r="B876" s="68"/>
      <c r="C876" s="25" t="s">
        <v>142</v>
      </c>
      <c r="D876" s="62" t="s">
        <v>44</v>
      </c>
      <c r="E876" s="63" t="s">
        <v>45</v>
      </c>
      <c r="F876" s="64">
        <v>10</v>
      </c>
      <c r="G876" s="46">
        <v>28000</v>
      </c>
      <c r="H876" s="66">
        <v>0.8</v>
      </c>
      <c r="I876" s="31">
        <v>1.1479999999999999</v>
      </c>
      <c r="J876" s="223">
        <f t="shared" si="118"/>
        <v>257000</v>
      </c>
      <c r="K876" s="32">
        <f t="shared" si="119"/>
        <v>257000</v>
      </c>
      <c r="L876" s="261">
        <f t="shared" si="120"/>
        <v>0</v>
      </c>
      <c r="M876" s="14"/>
    </row>
    <row r="877" spans="1:13" s="169" customFormat="1" ht="61.5" customHeight="1" x14ac:dyDescent="0.3">
      <c r="A877" s="108">
        <v>48</v>
      </c>
      <c r="B877" s="109" t="s">
        <v>143</v>
      </c>
      <c r="C877" s="455" t="s">
        <v>144</v>
      </c>
      <c r="D877" s="456"/>
      <c r="E877" s="456"/>
      <c r="F877" s="456"/>
      <c r="G877" s="456"/>
      <c r="H877" s="456"/>
      <c r="I877" s="457"/>
      <c r="J877" s="221">
        <f>SUM(J878:J896)</f>
        <v>307365000</v>
      </c>
      <c r="K877" s="256">
        <f t="shared" si="119"/>
        <v>0</v>
      </c>
      <c r="L877" s="261">
        <f t="shared" si="120"/>
        <v>307365000</v>
      </c>
      <c r="M877" s="24"/>
    </row>
    <row r="878" spans="1:13" s="289" customFormat="1" ht="90" customHeight="1" x14ac:dyDescent="0.3">
      <c r="A878" s="67"/>
      <c r="B878" s="68"/>
      <c r="C878" s="20" t="s">
        <v>1047</v>
      </c>
      <c r="D878" s="26"/>
      <c r="E878" s="27" t="s">
        <v>23</v>
      </c>
      <c r="F878" s="35">
        <v>124.3</v>
      </c>
      <c r="G878" s="464" t="s">
        <v>1152</v>
      </c>
      <c r="H878" s="464"/>
      <c r="I878" s="465"/>
      <c r="J878" s="227"/>
      <c r="K878" s="32"/>
      <c r="L878" s="261">
        <f t="shared" si="120"/>
        <v>0</v>
      </c>
      <c r="M878" s="14"/>
    </row>
    <row r="879" spans="1:13" s="289" customFormat="1" ht="72" customHeight="1" x14ac:dyDescent="0.3">
      <c r="A879" s="67"/>
      <c r="B879" s="68"/>
      <c r="C879" s="128" t="s">
        <v>145</v>
      </c>
      <c r="D879" s="9" t="s">
        <v>113</v>
      </c>
      <c r="E879" s="27" t="s">
        <v>23</v>
      </c>
      <c r="F879" s="133">
        <f>2.3*5.2+3*2.65+2.15*6.1</f>
        <v>33.024999999999991</v>
      </c>
      <c r="G879" s="130">
        <v>2975000</v>
      </c>
      <c r="H879" s="37">
        <v>0.8</v>
      </c>
      <c r="I879" s="131">
        <v>1.1479999999999999</v>
      </c>
      <c r="J879" s="229">
        <f t="shared" ref="J879:J896" si="121">ROUND(F879*G879*H879*I879,-3)</f>
        <v>90232000</v>
      </c>
      <c r="K879" s="32">
        <f t="shared" ref="K879:K897" si="122">ROUND(G879*H879*I879*F879,-3)</f>
        <v>90232000</v>
      </c>
      <c r="L879" s="261">
        <f t="shared" si="120"/>
        <v>0</v>
      </c>
      <c r="M879" s="14"/>
    </row>
    <row r="880" spans="1:13" s="289" customFormat="1" ht="72" customHeight="1" x14ac:dyDescent="0.3">
      <c r="A880" s="67"/>
      <c r="B880" s="68"/>
      <c r="C880" s="128" t="s">
        <v>146</v>
      </c>
      <c r="D880" s="9" t="s">
        <v>113</v>
      </c>
      <c r="E880" s="27" t="s">
        <v>23</v>
      </c>
      <c r="F880" s="129">
        <f>3.2*7.1+2.65*0.7</f>
        <v>24.574999999999999</v>
      </c>
      <c r="G880" s="130">
        <v>2975000</v>
      </c>
      <c r="H880" s="37">
        <v>0.8</v>
      </c>
      <c r="I880" s="31">
        <v>1.1479999999999999</v>
      </c>
      <c r="J880" s="223">
        <f t="shared" si="121"/>
        <v>67145000</v>
      </c>
      <c r="K880" s="32">
        <f t="shared" si="122"/>
        <v>67145000</v>
      </c>
      <c r="L880" s="261">
        <f t="shared" si="120"/>
        <v>0</v>
      </c>
      <c r="M880" s="14"/>
    </row>
    <row r="881" spans="1:13" s="289" customFormat="1" ht="72" customHeight="1" x14ac:dyDescent="0.3">
      <c r="A881" s="67"/>
      <c r="B881" s="68"/>
      <c r="C881" s="128" t="s">
        <v>147</v>
      </c>
      <c r="D881" s="81" t="s">
        <v>435</v>
      </c>
      <c r="E881" s="27" t="s">
        <v>23</v>
      </c>
      <c r="F881" s="129">
        <f>4.55*3.6</f>
        <v>16.38</v>
      </c>
      <c r="G881" s="130">
        <v>3371000</v>
      </c>
      <c r="H881" s="37">
        <v>0.8</v>
      </c>
      <c r="I881" s="31">
        <v>1.1479999999999999</v>
      </c>
      <c r="J881" s="223">
        <f t="shared" si="121"/>
        <v>50711000</v>
      </c>
      <c r="K881" s="32">
        <f t="shared" si="122"/>
        <v>50711000</v>
      </c>
      <c r="L881" s="261">
        <f t="shared" si="120"/>
        <v>0</v>
      </c>
      <c r="M881" s="14"/>
    </row>
    <row r="882" spans="1:13" s="289" customFormat="1" ht="61.5" customHeight="1" x14ac:dyDescent="0.3">
      <c r="A882" s="67"/>
      <c r="B882" s="68"/>
      <c r="C882" s="128" t="s">
        <v>851</v>
      </c>
      <c r="D882" s="34" t="s">
        <v>51</v>
      </c>
      <c r="E882" s="27" t="s">
        <v>23</v>
      </c>
      <c r="F882" s="132">
        <f>10.2*2</f>
        <v>20.399999999999999</v>
      </c>
      <c r="G882" s="29">
        <v>453000</v>
      </c>
      <c r="H882" s="37">
        <v>0.8</v>
      </c>
      <c r="I882" s="31">
        <v>1.1479999999999999</v>
      </c>
      <c r="J882" s="223">
        <f t="shared" si="121"/>
        <v>8487000</v>
      </c>
      <c r="K882" s="32">
        <f t="shared" si="122"/>
        <v>8487000</v>
      </c>
      <c r="L882" s="261">
        <f t="shared" si="120"/>
        <v>0</v>
      </c>
      <c r="M882" s="14"/>
    </row>
    <row r="883" spans="1:13" s="289" customFormat="1" ht="61.5" customHeight="1" x14ac:dyDescent="0.3">
      <c r="A883" s="67"/>
      <c r="B883" s="68"/>
      <c r="C883" s="128" t="s">
        <v>149</v>
      </c>
      <c r="D883" s="34" t="s">
        <v>31</v>
      </c>
      <c r="E883" s="27" t="s">
        <v>23</v>
      </c>
      <c r="F883" s="133">
        <f>9.6*4+3.3*2.4</f>
        <v>46.32</v>
      </c>
      <c r="G883" s="29">
        <v>339000</v>
      </c>
      <c r="H883" s="37">
        <v>0.8</v>
      </c>
      <c r="I883" s="31">
        <v>1.1479999999999999</v>
      </c>
      <c r="J883" s="223">
        <f t="shared" si="121"/>
        <v>14421000</v>
      </c>
      <c r="K883" s="32">
        <f t="shared" si="122"/>
        <v>14421000</v>
      </c>
      <c r="L883" s="261">
        <f t="shared" si="120"/>
        <v>0</v>
      </c>
      <c r="M883" s="14"/>
    </row>
    <row r="884" spans="1:13" s="289" customFormat="1" ht="61.5" customHeight="1" x14ac:dyDescent="0.3">
      <c r="A884" s="67"/>
      <c r="B884" s="68"/>
      <c r="C884" s="128" t="s">
        <v>150</v>
      </c>
      <c r="D884" s="42" t="s">
        <v>32</v>
      </c>
      <c r="E884" s="27" t="s">
        <v>23</v>
      </c>
      <c r="F884" s="132">
        <f>10.2*5.35</f>
        <v>54.569999999999993</v>
      </c>
      <c r="G884" s="29">
        <v>215000</v>
      </c>
      <c r="H884" s="43">
        <v>0.8</v>
      </c>
      <c r="I884" s="31">
        <v>1.1479999999999999</v>
      </c>
      <c r="J884" s="223">
        <f t="shared" si="121"/>
        <v>10775000</v>
      </c>
      <c r="K884" s="32">
        <f t="shared" si="122"/>
        <v>10775000</v>
      </c>
      <c r="L884" s="261">
        <f t="shared" si="120"/>
        <v>0</v>
      </c>
      <c r="M884" s="14"/>
    </row>
    <row r="885" spans="1:13" s="289" customFormat="1" ht="61.5" customHeight="1" x14ac:dyDescent="0.3">
      <c r="A885" s="67"/>
      <c r="B885" s="68"/>
      <c r="C885" s="128" t="s">
        <v>151</v>
      </c>
      <c r="D885" s="26" t="s">
        <v>95</v>
      </c>
      <c r="E885" s="71" t="s">
        <v>25</v>
      </c>
      <c r="F885" s="132">
        <f>(0.35*0.1*2.5)*2+(0.35*0.1*1.35)*2</f>
        <v>0.26949999999999996</v>
      </c>
      <c r="G885" s="11">
        <v>1000000</v>
      </c>
      <c r="H885" s="38">
        <v>0.8</v>
      </c>
      <c r="I885" s="31">
        <v>1.1479999999999999</v>
      </c>
      <c r="J885" s="223">
        <f t="shared" si="121"/>
        <v>248000</v>
      </c>
      <c r="K885" s="32">
        <f t="shared" si="122"/>
        <v>248000</v>
      </c>
      <c r="L885" s="261">
        <f t="shared" si="120"/>
        <v>0</v>
      </c>
      <c r="M885" s="14"/>
    </row>
    <row r="886" spans="1:13" s="289" customFormat="1" ht="61.5" customHeight="1" x14ac:dyDescent="0.3">
      <c r="A886" s="67"/>
      <c r="B886" s="68"/>
      <c r="C886" s="128" t="s">
        <v>152</v>
      </c>
      <c r="D886" s="34" t="s">
        <v>28</v>
      </c>
      <c r="E886" s="27" t="s">
        <v>23</v>
      </c>
      <c r="F886" s="132">
        <f>0.9*2.5+0.9*1.35</f>
        <v>3.4649999999999999</v>
      </c>
      <c r="G886" s="11">
        <v>396000</v>
      </c>
      <c r="H886" s="38">
        <v>0.8</v>
      </c>
      <c r="I886" s="31">
        <v>1.1479999999999999</v>
      </c>
      <c r="J886" s="223">
        <f t="shared" si="121"/>
        <v>1260000</v>
      </c>
      <c r="K886" s="32">
        <f t="shared" si="122"/>
        <v>1260000</v>
      </c>
      <c r="L886" s="261">
        <f t="shared" si="120"/>
        <v>0</v>
      </c>
      <c r="M886" s="14"/>
    </row>
    <row r="887" spans="1:13" s="289" customFormat="1" ht="61.5" customHeight="1" x14ac:dyDescent="0.3">
      <c r="A887" s="67"/>
      <c r="B887" s="68"/>
      <c r="C887" s="128" t="s">
        <v>865</v>
      </c>
      <c r="D887" s="34" t="s">
        <v>29</v>
      </c>
      <c r="E887" s="27" t="s">
        <v>23</v>
      </c>
      <c r="F887" s="129">
        <f>2.2*1+4*0.3</f>
        <v>3.4000000000000004</v>
      </c>
      <c r="G887" s="29">
        <v>792000</v>
      </c>
      <c r="H887" s="37">
        <v>0.8</v>
      </c>
      <c r="I887" s="31">
        <v>1.1479999999999999</v>
      </c>
      <c r="J887" s="223">
        <f t="shared" si="121"/>
        <v>2473000</v>
      </c>
      <c r="K887" s="32">
        <f t="shared" si="122"/>
        <v>2473000</v>
      </c>
      <c r="L887" s="261">
        <f t="shared" si="120"/>
        <v>0</v>
      </c>
      <c r="M887" s="14"/>
    </row>
    <row r="888" spans="1:13" s="289" customFormat="1" ht="75.75" customHeight="1" x14ac:dyDescent="0.3">
      <c r="A888" s="67"/>
      <c r="B888" s="68"/>
      <c r="C888" s="128" t="s">
        <v>153</v>
      </c>
      <c r="D888" s="26" t="s">
        <v>24</v>
      </c>
      <c r="E888" s="84" t="s">
        <v>25</v>
      </c>
      <c r="F888" s="129">
        <f>6.85*0.9*0.05+6.85*1.35*0.15+2.5*1.1*0.15+2.3*1.2*0.15+1*0.4*0.1</f>
        <v>2.5618750000000001</v>
      </c>
      <c r="G888" s="86">
        <v>2828000</v>
      </c>
      <c r="H888" s="87">
        <v>0.8</v>
      </c>
      <c r="I888" s="31">
        <v>1.1479999999999999</v>
      </c>
      <c r="J888" s="223">
        <f t="shared" si="121"/>
        <v>6654000</v>
      </c>
      <c r="K888" s="32">
        <f t="shared" si="122"/>
        <v>6654000</v>
      </c>
      <c r="L888" s="261">
        <f t="shared" si="120"/>
        <v>0</v>
      </c>
      <c r="M888" s="14"/>
    </row>
    <row r="889" spans="1:13" s="289" customFormat="1" ht="61.5" customHeight="1" x14ac:dyDescent="0.3">
      <c r="A889" s="67"/>
      <c r="B889" s="8"/>
      <c r="C889" s="134" t="s">
        <v>154</v>
      </c>
      <c r="D889" s="34" t="s">
        <v>55</v>
      </c>
      <c r="E889" s="27" t="s">
        <v>23</v>
      </c>
      <c r="F889" s="135">
        <f>3.2*2.2</f>
        <v>7.0400000000000009</v>
      </c>
      <c r="G889" s="29">
        <v>905000</v>
      </c>
      <c r="H889" s="37">
        <v>0.8</v>
      </c>
      <c r="I889" s="79">
        <v>1.1479999999999999</v>
      </c>
      <c r="J889" s="223">
        <f t="shared" si="121"/>
        <v>5851000</v>
      </c>
      <c r="K889" s="32">
        <f t="shared" si="122"/>
        <v>5851000</v>
      </c>
      <c r="L889" s="261"/>
      <c r="M889" s="14"/>
    </row>
    <row r="890" spans="1:13" s="289" customFormat="1" ht="61.5" customHeight="1" x14ac:dyDescent="0.3">
      <c r="A890" s="67"/>
      <c r="B890" s="8"/>
      <c r="C890" s="128" t="s">
        <v>155</v>
      </c>
      <c r="D890" s="42" t="s">
        <v>54</v>
      </c>
      <c r="E890" s="27" t="s">
        <v>23</v>
      </c>
      <c r="F890" s="136">
        <f>3.2*1.8</f>
        <v>5.7600000000000007</v>
      </c>
      <c r="G890" s="46">
        <v>213000</v>
      </c>
      <c r="H890" s="52">
        <v>0.8</v>
      </c>
      <c r="I890" s="57">
        <v>1.1479999999999999</v>
      </c>
      <c r="J890" s="223">
        <f t="shared" si="121"/>
        <v>1127000</v>
      </c>
      <c r="K890" s="32">
        <f t="shared" si="122"/>
        <v>1127000</v>
      </c>
      <c r="L890" s="262">
        <f t="shared" ref="L890:L923" si="123">J890-K890</f>
        <v>0</v>
      </c>
      <c r="M890" s="14"/>
    </row>
    <row r="891" spans="1:13" s="289" customFormat="1" ht="61.5" customHeight="1" x14ac:dyDescent="0.3">
      <c r="A891" s="211"/>
      <c r="B891" s="84"/>
      <c r="C891" s="128" t="s">
        <v>156</v>
      </c>
      <c r="D891" s="34" t="s">
        <v>28</v>
      </c>
      <c r="E891" s="27" t="s">
        <v>23</v>
      </c>
      <c r="F891" s="136">
        <f>(8*4)*3</f>
        <v>96</v>
      </c>
      <c r="G891" s="11">
        <v>396000</v>
      </c>
      <c r="H891" s="38">
        <v>0.8</v>
      </c>
      <c r="I891" s="31">
        <v>1.1479999999999999</v>
      </c>
      <c r="J891" s="223">
        <f t="shared" si="121"/>
        <v>34914000</v>
      </c>
      <c r="K891" s="32">
        <f t="shared" si="122"/>
        <v>34914000</v>
      </c>
      <c r="L891" s="261">
        <f t="shared" si="123"/>
        <v>0</v>
      </c>
      <c r="M891" s="14"/>
    </row>
    <row r="892" spans="1:13" s="289" customFormat="1" ht="61.5" customHeight="1" x14ac:dyDescent="0.3">
      <c r="A892" s="211"/>
      <c r="B892" s="84"/>
      <c r="C892" s="128" t="s">
        <v>157</v>
      </c>
      <c r="D892" s="34" t="s">
        <v>66</v>
      </c>
      <c r="E892" s="27" t="s">
        <v>23</v>
      </c>
      <c r="F892" s="136">
        <f>8.5*1.2+5.3*1.2</f>
        <v>16.559999999999999</v>
      </c>
      <c r="G892" s="29">
        <v>339000</v>
      </c>
      <c r="H892" s="38">
        <v>0.8</v>
      </c>
      <c r="I892" s="31">
        <v>1.1479999999999999</v>
      </c>
      <c r="J892" s="223">
        <f t="shared" si="121"/>
        <v>5156000</v>
      </c>
      <c r="K892" s="32">
        <f t="shared" si="122"/>
        <v>5156000</v>
      </c>
      <c r="L892" s="261">
        <f t="shared" si="123"/>
        <v>0</v>
      </c>
      <c r="M892" s="14"/>
    </row>
    <row r="893" spans="1:13" s="169" customFormat="1" ht="61.5" customHeight="1" x14ac:dyDescent="0.3">
      <c r="A893" s="18"/>
      <c r="B893" s="183"/>
      <c r="C893" s="184" t="s">
        <v>158</v>
      </c>
      <c r="D893" s="185" t="s">
        <v>33</v>
      </c>
      <c r="E893" s="165" t="s">
        <v>23</v>
      </c>
      <c r="F893" s="186">
        <f>4.4*4</f>
        <v>17.600000000000001</v>
      </c>
      <c r="G893" s="100">
        <v>453000</v>
      </c>
      <c r="H893" s="43">
        <v>0.8</v>
      </c>
      <c r="I893" s="102">
        <v>1.1479999999999999</v>
      </c>
      <c r="J893" s="222">
        <f t="shared" si="121"/>
        <v>7322000</v>
      </c>
      <c r="K893" s="32">
        <f t="shared" si="122"/>
        <v>7322000</v>
      </c>
      <c r="L893" s="261">
        <f t="shared" si="123"/>
        <v>0</v>
      </c>
      <c r="M893" s="24"/>
    </row>
    <row r="894" spans="1:13" s="289" customFormat="1" ht="61.5" customHeight="1" x14ac:dyDescent="0.3">
      <c r="A894" s="211"/>
      <c r="B894" s="84"/>
      <c r="C894" s="128" t="s">
        <v>159</v>
      </c>
      <c r="D894" s="58" t="s">
        <v>41</v>
      </c>
      <c r="E894" s="59" t="s">
        <v>42</v>
      </c>
      <c r="F894" s="214">
        <v>7</v>
      </c>
      <c r="G894" s="11">
        <v>10650</v>
      </c>
      <c r="H894" s="60">
        <v>1</v>
      </c>
      <c r="I894" s="61">
        <v>1</v>
      </c>
      <c r="J894" s="223">
        <f t="shared" si="121"/>
        <v>75000</v>
      </c>
      <c r="K894" s="32">
        <f t="shared" si="122"/>
        <v>75000</v>
      </c>
      <c r="L894" s="261">
        <f t="shared" si="123"/>
        <v>0</v>
      </c>
      <c r="M894" s="14"/>
    </row>
    <row r="895" spans="1:13" s="289" customFormat="1" ht="61.5" customHeight="1" x14ac:dyDescent="0.3">
      <c r="A895" s="211"/>
      <c r="B895" s="84"/>
      <c r="C895" s="128" t="s">
        <v>160</v>
      </c>
      <c r="D895" s="62" t="s">
        <v>44</v>
      </c>
      <c r="E895" s="63" t="s">
        <v>45</v>
      </c>
      <c r="F895" s="138">
        <v>10</v>
      </c>
      <c r="G895" s="46">
        <v>28000</v>
      </c>
      <c r="H895" s="66">
        <v>0.8</v>
      </c>
      <c r="I895" s="31">
        <v>1.1479999999999999</v>
      </c>
      <c r="J895" s="223">
        <f t="shared" si="121"/>
        <v>257000</v>
      </c>
      <c r="K895" s="32">
        <f t="shared" si="122"/>
        <v>257000</v>
      </c>
      <c r="L895" s="261">
        <f t="shared" si="123"/>
        <v>0</v>
      </c>
      <c r="M895" s="14"/>
    </row>
    <row r="896" spans="1:13" s="289" customFormat="1" ht="61.5" customHeight="1" x14ac:dyDescent="0.3">
      <c r="A896" s="211"/>
      <c r="B896" s="84"/>
      <c r="C896" s="128" t="s">
        <v>111</v>
      </c>
      <c r="D896" s="42" t="s">
        <v>47</v>
      </c>
      <c r="E896" s="63" t="s">
        <v>45</v>
      </c>
      <c r="F896" s="138">
        <v>10</v>
      </c>
      <c r="G896" s="46">
        <v>28000</v>
      </c>
      <c r="H896" s="66">
        <v>0.8</v>
      </c>
      <c r="I896" s="31">
        <v>1.1479999999999999</v>
      </c>
      <c r="J896" s="223">
        <f t="shared" si="121"/>
        <v>257000</v>
      </c>
      <c r="K896" s="32">
        <f t="shared" si="122"/>
        <v>257000</v>
      </c>
      <c r="L896" s="261">
        <f t="shared" si="123"/>
        <v>0</v>
      </c>
      <c r="M896" s="14"/>
    </row>
    <row r="897" spans="1:13" s="289" customFormat="1" ht="61.5" customHeight="1" x14ac:dyDescent="0.3">
      <c r="A897" s="211">
        <v>49</v>
      </c>
      <c r="B897" s="17" t="s">
        <v>167</v>
      </c>
      <c r="C897" s="433" t="s">
        <v>168</v>
      </c>
      <c r="D897" s="434"/>
      <c r="E897" s="434"/>
      <c r="F897" s="434"/>
      <c r="G897" s="434"/>
      <c r="H897" s="434"/>
      <c r="I897" s="435"/>
      <c r="J897" s="221">
        <f>SUM(J898:J904)</f>
        <v>163311000</v>
      </c>
      <c r="K897" s="32">
        <f t="shared" si="122"/>
        <v>0</v>
      </c>
      <c r="L897" s="261">
        <f t="shared" si="123"/>
        <v>163311000</v>
      </c>
      <c r="M897" s="14"/>
    </row>
    <row r="898" spans="1:13" s="289" customFormat="1" ht="90" customHeight="1" x14ac:dyDescent="0.3">
      <c r="A898" s="211"/>
      <c r="B898" s="17"/>
      <c r="C898" s="20" t="s">
        <v>169</v>
      </c>
      <c r="D898" s="26"/>
      <c r="E898" s="27" t="s">
        <v>23</v>
      </c>
      <c r="F898" s="35">
        <v>33.700000000000003</v>
      </c>
      <c r="G898" s="464" t="s">
        <v>1152</v>
      </c>
      <c r="H898" s="464"/>
      <c r="I898" s="465"/>
      <c r="J898" s="227"/>
      <c r="K898" s="32"/>
      <c r="L898" s="261">
        <f t="shared" si="123"/>
        <v>0</v>
      </c>
      <c r="M898" s="14"/>
    </row>
    <row r="899" spans="1:13" s="289" customFormat="1" ht="72" customHeight="1" x14ac:dyDescent="0.3">
      <c r="A899" s="69"/>
      <c r="B899" s="8"/>
      <c r="C899" s="82" t="s">
        <v>170</v>
      </c>
      <c r="D899" s="9" t="s">
        <v>63</v>
      </c>
      <c r="E899" s="27" t="s">
        <v>23</v>
      </c>
      <c r="F899" s="89">
        <f>9.3*6</f>
        <v>55.800000000000004</v>
      </c>
      <c r="G899" s="29">
        <f>2975000-99000</f>
        <v>2876000</v>
      </c>
      <c r="H899" s="101">
        <v>0.8</v>
      </c>
      <c r="I899" s="102">
        <v>1.1479999999999999</v>
      </c>
      <c r="J899" s="223">
        <f t="shared" ref="J899:J904" si="124">ROUND(F899*G899*H899*I899,-3)</f>
        <v>147386000</v>
      </c>
      <c r="K899" s="32">
        <f t="shared" ref="K899:K905" si="125">ROUND(G899*H899*I899*F899,-3)</f>
        <v>147386000</v>
      </c>
      <c r="L899" s="261">
        <f t="shared" si="123"/>
        <v>0</v>
      </c>
      <c r="M899" s="14"/>
    </row>
    <row r="900" spans="1:13" s="289" customFormat="1" ht="61.5" customHeight="1" x14ac:dyDescent="0.3">
      <c r="A900" s="69"/>
      <c r="B900" s="8"/>
      <c r="C900" s="82" t="s">
        <v>171</v>
      </c>
      <c r="D900" s="42" t="s">
        <v>32</v>
      </c>
      <c r="E900" s="27" t="s">
        <v>23</v>
      </c>
      <c r="F900" s="72">
        <f>3.2*6</f>
        <v>19.200000000000003</v>
      </c>
      <c r="G900" s="29">
        <v>215000</v>
      </c>
      <c r="H900" s="43">
        <v>0.8</v>
      </c>
      <c r="I900" s="31">
        <v>1.1479999999999999</v>
      </c>
      <c r="J900" s="223">
        <f t="shared" si="124"/>
        <v>3791000</v>
      </c>
      <c r="K900" s="32">
        <f t="shared" si="125"/>
        <v>3791000</v>
      </c>
      <c r="L900" s="261">
        <f t="shared" si="123"/>
        <v>0</v>
      </c>
      <c r="M900" s="14"/>
    </row>
    <row r="901" spans="1:13" s="289" customFormat="1" ht="61.5" customHeight="1" x14ac:dyDescent="0.3">
      <c r="A901" s="69"/>
      <c r="B901" s="8"/>
      <c r="C901" s="82" t="s">
        <v>852</v>
      </c>
      <c r="D901" s="34" t="s">
        <v>51</v>
      </c>
      <c r="E901" s="27" t="s">
        <v>23</v>
      </c>
      <c r="F901" s="72">
        <f>2.4*6</f>
        <v>14.399999999999999</v>
      </c>
      <c r="G901" s="29">
        <v>453000</v>
      </c>
      <c r="H901" s="37">
        <v>0.8</v>
      </c>
      <c r="I901" s="31">
        <v>1.1479999999999999</v>
      </c>
      <c r="J901" s="223">
        <f t="shared" si="124"/>
        <v>5991000</v>
      </c>
      <c r="K901" s="32">
        <f t="shared" si="125"/>
        <v>5991000</v>
      </c>
      <c r="L901" s="261">
        <f t="shared" si="123"/>
        <v>0</v>
      </c>
      <c r="M901" s="14"/>
    </row>
    <row r="902" spans="1:13" s="289" customFormat="1" ht="61.5" customHeight="1" x14ac:dyDescent="0.3">
      <c r="A902" s="69"/>
      <c r="B902" s="8"/>
      <c r="C902" s="82" t="s">
        <v>172</v>
      </c>
      <c r="D902" s="34" t="s">
        <v>31</v>
      </c>
      <c r="E902" s="27" t="s">
        <v>23</v>
      </c>
      <c r="F902" s="75">
        <f>2.4*6</f>
        <v>14.399999999999999</v>
      </c>
      <c r="G902" s="29">
        <v>339000</v>
      </c>
      <c r="H902" s="37">
        <v>0.8</v>
      </c>
      <c r="I902" s="31">
        <v>1.1479999999999999</v>
      </c>
      <c r="J902" s="223">
        <f t="shared" si="124"/>
        <v>4483000</v>
      </c>
      <c r="K902" s="32">
        <f t="shared" si="125"/>
        <v>4483000</v>
      </c>
      <c r="L902" s="261">
        <f t="shared" si="123"/>
        <v>0</v>
      </c>
      <c r="M902" s="14"/>
    </row>
    <row r="903" spans="1:13" s="289" customFormat="1" ht="61.5" customHeight="1" x14ac:dyDescent="0.3">
      <c r="A903" s="69"/>
      <c r="B903" s="8"/>
      <c r="C903" s="82" t="s">
        <v>173</v>
      </c>
      <c r="D903" s="26" t="s">
        <v>24</v>
      </c>
      <c r="E903" s="84" t="s">
        <v>25</v>
      </c>
      <c r="F903" s="89">
        <f>6*0.6*0.15</f>
        <v>0.53999999999999992</v>
      </c>
      <c r="G903" s="86">
        <v>2828000</v>
      </c>
      <c r="H903" s="87">
        <v>0.8</v>
      </c>
      <c r="I903" s="31">
        <v>1.1479999999999999</v>
      </c>
      <c r="J903" s="223">
        <f t="shared" si="124"/>
        <v>1403000</v>
      </c>
      <c r="K903" s="32">
        <f t="shared" si="125"/>
        <v>1403000</v>
      </c>
      <c r="L903" s="261">
        <f t="shared" si="123"/>
        <v>0</v>
      </c>
      <c r="M903" s="14"/>
    </row>
    <row r="904" spans="1:13" s="289" customFormat="1" ht="61.5" customHeight="1" x14ac:dyDescent="0.3">
      <c r="A904" s="69"/>
      <c r="B904" s="8"/>
      <c r="C904" s="82" t="s">
        <v>174</v>
      </c>
      <c r="D904" s="62" t="s">
        <v>44</v>
      </c>
      <c r="E904" s="63" t="s">
        <v>45</v>
      </c>
      <c r="F904" s="72">
        <v>10</v>
      </c>
      <c r="G904" s="46">
        <v>28000</v>
      </c>
      <c r="H904" s="66">
        <v>0.8</v>
      </c>
      <c r="I904" s="31">
        <v>1.1479999999999999</v>
      </c>
      <c r="J904" s="223">
        <f t="shared" si="124"/>
        <v>257000</v>
      </c>
      <c r="K904" s="32">
        <f t="shared" si="125"/>
        <v>257000</v>
      </c>
      <c r="L904" s="261">
        <f t="shared" si="123"/>
        <v>0</v>
      </c>
      <c r="M904" s="14"/>
    </row>
    <row r="905" spans="1:13" s="289" customFormat="1" ht="61.5" customHeight="1" x14ac:dyDescent="0.3">
      <c r="A905" s="67">
        <v>50</v>
      </c>
      <c r="B905" s="68" t="s">
        <v>175</v>
      </c>
      <c r="C905" s="433" t="s">
        <v>176</v>
      </c>
      <c r="D905" s="434"/>
      <c r="E905" s="434"/>
      <c r="F905" s="434"/>
      <c r="G905" s="434"/>
      <c r="H905" s="434"/>
      <c r="I905" s="435"/>
      <c r="J905" s="221">
        <f>SUM(J906:J914)</f>
        <v>201363000</v>
      </c>
      <c r="K905" s="32">
        <f t="shared" si="125"/>
        <v>0</v>
      </c>
      <c r="L905" s="261">
        <f t="shared" si="123"/>
        <v>201363000</v>
      </c>
      <c r="M905" s="14"/>
    </row>
    <row r="906" spans="1:13" s="289" customFormat="1" ht="90" customHeight="1" x14ac:dyDescent="0.3">
      <c r="A906" s="67"/>
      <c r="B906" s="68"/>
      <c r="C906" s="20" t="s">
        <v>177</v>
      </c>
      <c r="D906" s="26"/>
      <c r="E906" s="27" t="s">
        <v>23</v>
      </c>
      <c r="F906" s="35">
        <v>36.799999999999997</v>
      </c>
      <c r="G906" s="464" t="s">
        <v>1152</v>
      </c>
      <c r="H906" s="464"/>
      <c r="I906" s="465"/>
      <c r="J906" s="227"/>
      <c r="K906" s="32"/>
      <c r="L906" s="261">
        <f t="shared" si="123"/>
        <v>0</v>
      </c>
      <c r="M906" s="14"/>
    </row>
    <row r="907" spans="1:13" s="289" customFormat="1" ht="72" customHeight="1" x14ac:dyDescent="0.3">
      <c r="A907" s="69"/>
      <c r="B907" s="8"/>
      <c r="C907" s="82" t="s">
        <v>178</v>
      </c>
      <c r="D907" s="81" t="s">
        <v>63</v>
      </c>
      <c r="E907" s="27" t="s">
        <v>23</v>
      </c>
      <c r="F907" s="75">
        <f>10.8*5.1</f>
        <v>55.08</v>
      </c>
      <c r="G907" s="11">
        <v>2975000</v>
      </c>
      <c r="H907" s="101">
        <v>0.8</v>
      </c>
      <c r="I907" s="102">
        <v>1.1479999999999999</v>
      </c>
      <c r="J907" s="223">
        <f t="shared" ref="J907:J914" si="126">ROUND(F907*G907*H907*I907,-3)</f>
        <v>150492000</v>
      </c>
      <c r="K907" s="32">
        <f t="shared" ref="K907:K915" si="127">ROUND(G907*H907*I907*F907,-3)</f>
        <v>150492000</v>
      </c>
      <c r="L907" s="261">
        <f t="shared" si="123"/>
        <v>0</v>
      </c>
      <c r="M907" s="14"/>
    </row>
    <row r="908" spans="1:13" s="289" customFormat="1" ht="61.5" customHeight="1" x14ac:dyDescent="0.3">
      <c r="A908" s="69"/>
      <c r="B908" s="8"/>
      <c r="C908" s="82" t="s">
        <v>179</v>
      </c>
      <c r="D908" s="34" t="s">
        <v>80</v>
      </c>
      <c r="E908" s="71" t="s">
        <v>23</v>
      </c>
      <c r="F908" s="72">
        <f>9.5*4.8</f>
        <v>45.6</v>
      </c>
      <c r="G908" s="29">
        <v>385000</v>
      </c>
      <c r="H908" s="37">
        <v>0.8</v>
      </c>
      <c r="I908" s="31">
        <v>1.1479999999999999</v>
      </c>
      <c r="J908" s="223">
        <f t="shared" si="126"/>
        <v>16123000</v>
      </c>
      <c r="K908" s="32">
        <f t="shared" si="127"/>
        <v>16123000</v>
      </c>
      <c r="L908" s="261">
        <f t="shared" si="123"/>
        <v>0</v>
      </c>
      <c r="M908" s="14"/>
    </row>
    <row r="909" spans="1:13" s="289" customFormat="1" ht="61.5" customHeight="1" x14ac:dyDescent="0.3">
      <c r="A909" s="69"/>
      <c r="B909" s="8"/>
      <c r="C909" s="82" t="s">
        <v>180</v>
      </c>
      <c r="D909" s="34" t="s">
        <v>66</v>
      </c>
      <c r="E909" s="27" t="s">
        <v>23</v>
      </c>
      <c r="F909" s="72">
        <f>(10.3*3.1)*2</f>
        <v>63.860000000000007</v>
      </c>
      <c r="G909" s="29">
        <v>339000</v>
      </c>
      <c r="H909" s="38">
        <v>0.8</v>
      </c>
      <c r="I909" s="31">
        <v>1.1479999999999999</v>
      </c>
      <c r="J909" s="223">
        <f t="shared" si="126"/>
        <v>19882000</v>
      </c>
      <c r="K909" s="32">
        <f t="shared" si="127"/>
        <v>19882000</v>
      </c>
      <c r="L909" s="261">
        <f t="shared" si="123"/>
        <v>0</v>
      </c>
      <c r="M909" s="14"/>
    </row>
    <row r="910" spans="1:13" s="289" customFormat="1" ht="61.5" customHeight="1" x14ac:dyDescent="0.3">
      <c r="A910" s="69"/>
      <c r="B910" s="8"/>
      <c r="C910" s="82" t="s">
        <v>181</v>
      </c>
      <c r="D910" s="42" t="s">
        <v>54</v>
      </c>
      <c r="E910" s="27" t="s">
        <v>23</v>
      </c>
      <c r="F910" s="72">
        <f>1.5*4.8+4.7*5.1+(1.2*3)*2</f>
        <v>38.369999999999997</v>
      </c>
      <c r="G910" s="46">
        <v>213000</v>
      </c>
      <c r="H910" s="37">
        <v>0.8</v>
      </c>
      <c r="I910" s="79">
        <v>1.1479999999999999</v>
      </c>
      <c r="J910" s="223">
        <f t="shared" si="126"/>
        <v>7506000</v>
      </c>
      <c r="K910" s="32">
        <f t="shared" si="127"/>
        <v>7506000</v>
      </c>
      <c r="L910" s="261">
        <f t="shared" si="123"/>
        <v>0</v>
      </c>
      <c r="M910" s="14"/>
    </row>
    <row r="911" spans="1:13" s="289" customFormat="1" ht="61.5" customHeight="1" x14ac:dyDescent="0.3">
      <c r="A911" s="69"/>
      <c r="B911" s="8"/>
      <c r="C911" s="82" t="s">
        <v>182</v>
      </c>
      <c r="D911" s="34" t="s">
        <v>31</v>
      </c>
      <c r="E911" s="27" t="s">
        <v>23</v>
      </c>
      <c r="F911" s="75">
        <f>2.6*5.1</f>
        <v>13.26</v>
      </c>
      <c r="G911" s="29">
        <v>339000</v>
      </c>
      <c r="H911" s="37">
        <v>0.8</v>
      </c>
      <c r="I911" s="31">
        <v>1.1479999999999999</v>
      </c>
      <c r="J911" s="223">
        <f t="shared" si="126"/>
        <v>4128000</v>
      </c>
      <c r="K911" s="32">
        <f t="shared" si="127"/>
        <v>4128000</v>
      </c>
      <c r="L911" s="261">
        <f t="shared" si="123"/>
        <v>0</v>
      </c>
      <c r="M911" s="14"/>
    </row>
    <row r="912" spans="1:13" s="289" customFormat="1" ht="61.5" customHeight="1" x14ac:dyDescent="0.3">
      <c r="A912" s="69"/>
      <c r="B912" s="8"/>
      <c r="C912" s="82" t="s">
        <v>183</v>
      </c>
      <c r="D912" s="42" t="s">
        <v>32</v>
      </c>
      <c r="E912" s="27" t="s">
        <v>23</v>
      </c>
      <c r="F912" s="72">
        <f>2.8*5.1</f>
        <v>14.279999999999998</v>
      </c>
      <c r="G912" s="29">
        <v>215000</v>
      </c>
      <c r="H912" s="43">
        <v>0.8</v>
      </c>
      <c r="I912" s="31">
        <v>1.1479999999999999</v>
      </c>
      <c r="J912" s="223">
        <f t="shared" si="126"/>
        <v>2820000</v>
      </c>
      <c r="K912" s="32">
        <f t="shared" si="127"/>
        <v>2820000</v>
      </c>
      <c r="L912" s="261">
        <f t="shared" si="123"/>
        <v>0</v>
      </c>
      <c r="M912" s="14"/>
    </row>
    <row r="913" spans="1:13" s="289" customFormat="1" ht="61.5" customHeight="1" x14ac:dyDescent="0.3">
      <c r="A913" s="69"/>
      <c r="B913" s="8"/>
      <c r="C913" s="82" t="s">
        <v>184</v>
      </c>
      <c r="D913" s="62" t="s">
        <v>44</v>
      </c>
      <c r="E913" s="63" t="s">
        <v>45</v>
      </c>
      <c r="F913" s="142">
        <v>8</v>
      </c>
      <c r="G913" s="46">
        <v>28000</v>
      </c>
      <c r="H913" s="66">
        <v>0.8</v>
      </c>
      <c r="I913" s="31">
        <v>1.1479999999999999</v>
      </c>
      <c r="J913" s="223">
        <f t="shared" si="126"/>
        <v>206000</v>
      </c>
      <c r="K913" s="32">
        <f t="shared" si="127"/>
        <v>206000</v>
      </c>
      <c r="L913" s="261">
        <f t="shared" si="123"/>
        <v>0</v>
      </c>
      <c r="M913" s="14"/>
    </row>
    <row r="914" spans="1:13" s="289" customFormat="1" ht="61.5" customHeight="1" x14ac:dyDescent="0.3">
      <c r="A914" s="104"/>
      <c r="B914" s="105"/>
      <c r="C914" s="113" t="s">
        <v>185</v>
      </c>
      <c r="D914" s="42" t="s">
        <v>47</v>
      </c>
      <c r="E914" s="63" t="s">
        <v>45</v>
      </c>
      <c r="F914" s="127">
        <v>8</v>
      </c>
      <c r="G914" s="46">
        <v>28000</v>
      </c>
      <c r="H914" s="66">
        <v>0.8</v>
      </c>
      <c r="I914" s="31">
        <v>1.1479999999999999</v>
      </c>
      <c r="J914" s="223">
        <f t="shared" si="126"/>
        <v>206000</v>
      </c>
      <c r="K914" s="32">
        <f t="shared" si="127"/>
        <v>206000</v>
      </c>
      <c r="L914" s="261">
        <f t="shared" si="123"/>
        <v>0</v>
      </c>
      <c r="M914" s="14"/>
    </row>
    <row r="915" spans="1:13" s="289" customFormat="1" ht="61.5" customHeight="1" x14ac:dyDescent="0.3">
      <c r="A915" s="110">
        <v>51</v>
      </c>
      <c r="B915" s="111" t="s">
        <v>189</v>
      </c>
      <c r="C915" s="433" t="s">
        <v>190</v>
      </c>
      <c r="D915" s="434"/>
      <c r="E915" s="434"/>
      <c r="F915" s="434"/>
      <c r="G915" s="434"/>
      <c r="H915" s="434"/>
      <c r="I915" s="435"/>
      <c r="J915" s="221">
        <f>SUM(J916:J937)</f>
        <v>96493000</v>
      </c>
      <c r="K915" s="32">
        <f t="shared" si="127"/>
        <v>0</v>
      </c>
      <c r="L915" s="261">
        <f t="shared" si="123"/>
        <v>96493000</v>
      </c>
      <c r="M915" s="14"/>
    </row>
    <row r="916" spans="1:13" s="289" customFormat="1" ht="90" customHeight="1" x14ac:dyDescent="0.3">
      <c r="A916" s="67"/>
      <c r="B916" s="68"/>
      <c r="C916" s="20" t="s">
        <v>191</v>
      </c>
      <c r="D916" s="26"/>
      <c r="E916" s="27" t="s">
        <v>23</v>
      </c>
      <c r="F916" s="35">
        <v>59</v>
      </c>
      <c r="G916" s="464" t="s">
        <v>1152</v>
      </c>
      <c r="H916" s="464"/>
      <c r="I916" s="465"/>
      <c r="J916" s="227"/>
      <c r="K916" s="32"/>
      <c r="L916" s="261">
        <f t="shared" si="123"/>
        <v>0</v>
      </c>
      <c r="M916" s="14"/>
    </row>
    <row r="917" spans="1:13" s="289" customFormat="1" ht="61.5" customHeight="1" x14ac:dyDescent="0.3">
      <c r="A917" s="69"/>
      <c r="B917" s="8"/>
      <c r="C917" s="82" t="s">
        <v>192</v>
      </c>
      <c r="D917" s="9" t="s">
        <v>88</v>
      </c>
      <c r="E917" s="8" t="s">
        <v>25</v>
      </c>
      <c r="F917" s="72">
        <f>(0.5*0.5*2.75)*2</f>
        <v>1.375</v>
      </c>
      <c r="G917" s="11">
        <v>2828000</v>
      </c>
      <c r="H917" s="37">
        <v>0.8</v>
      </c>
      <c r="I917" s="31">
        <v>1.1479999999999999</v>
      </c>
      <c r="J917" s="223">
        <f t="shared" ref="J917:J937" si="128">ROUND(F917*G917*H917*I917,-3)</f>
        <v>3571000</v>
      </c>
      <c r="K917" s="32">
        <f t="shared" ref="K917:K937" si="129">ROUND(G917*H917*I917*F917,-3)</f>
        <v>3571000</v>
      </c>
      <c r="L917" s="261">
        <f t="shared" si="123"/>
        <v>0</v>
      </c>
      <c r="M917" s="14"/>
    </row>
    <row r="918" spans="1:13" s="289" customFormat="1" ht="61.5" customHeight="1" x14ac:dyDescent="0.3">
      <c r="A918" s="69"/>
      <c r="B918" s="8"/>
      <c r="C918" s="82" t="s">
        <v>193</v>
      </c>
      <c r="D918" s="26" t="s">
        <v>26</v>
      </c>
      <c r="E918" s="27" t="s">
        <v>23</v>
      </c>
      <c r="F918" s="89">
        <f>2.4*3.2</f>
        <v>7.68</v>
      </c>
      <c r="G918" s="29">
        <v>679000</v>
      </c>
      <c r="H918" s="30">
        <v>0.8</v>
      </c>
      <c r="I918" s="31">
        <v>1.1479999999999999</v>
      </c>
      <c r="J918" s="223">
        <f t="shared" si="128"/>
        <v>4789000</v>
      </c>
      <c r="K918" s="32">
        <f t="shared" si="129"/>
        <v>4789000</v>
      </c>
      <c r="L918" s="261">
        <f t="shared" si="123"/>
        <v>0</v>
      </c>
      <c r="M918" s="14"/>
    </row>
    <row r="919" spans="1:13" s="289" customFormat="1" ht="61.5" customHeight="1" x14ac:dyDescent="0.3">
      <c r="A919" s="69"/>
      <c r="B919" s="8"/>
      <c r="C919" s="82" t="s">
        <v>194</v>
      </c>
      <c r="D919" s="26" t="s">
        <v>24</v>
      </c>
      <c r="E919" s="27" t="s">
        <v>25</v>
      </c>
      <c r="F919" s="72">
        <f>2.4*3.2</f>
        <v>7.68</v>
      </c>
      <c r="G919" s="29">
        <v>2828000</v>
      </c>
      <c r="H919" s="30">
        <v>0.8</v>
      </c>
      <c r="I919" s="31">
        <v>1.1479999999999999</v>
      </c>
      <c r="J919" s="223">
        <f t="shared" si="128"/>
        <v>19947000</v>
      </c>
      <c r="K919" s="32">
        <f t="shared" si="129"/>
        <v>19947000</v>
      </c>
      <c r="L919" s="261">
        <f t="shared" si="123"/>
        <v>0</v>
      </c>
      <c r="M919" s="14"/>
    </row>
    <row r="920" spans="1:13" s="289" customFormat="1" ht="61.5" customHeight="1" x14ac:dyDescent="0.3">
      <c r="A920" s="69"/>
      <c r="B920" s="8"/>
      <c r="C920" s="82" t="s">
        <v>195</v>
      </c>
      <c r="D920" s="34" t="s">
        <v>29</v>
      </c>
      <c r="E920" s="27" t="s">
        <v>23</v>
      </c>
      <c r="F920" s="72">
        <f>7.65*1.35+4.1*1.35+1.7*1.35</f>
        <v>18.157499999999999</v>
      </c>
      <c r="G920" s="29">
        <v>792000</v>
      </c>
      <c r="H920" s="37">
        <v>0.8</v>
      </c>
      <c r="I920" s="31">
        <v>1.1479999999999999</v>
      </c>
      <c r="J920" s="223">
        <f t="shared" si="128"/>
        <v>13207000</v>
      </c>
      <c r="K920" s="32">
        <f t="shared" si="129"/>
        <v>13207000</v>
      </c>
      <c r="L920" s="261">
        <f t="shared" si="123"/>
        <v>0</v>
      </c>
      <c r="M920" s="14"/>
    </row>
    <row r="921" spans="1:13" s="289" customFormat="1" ht="61.5" customHeight="1" x14ac:dyDescent="0.3">
      <c r="A921" s="69"/>
      <c r="B921" s="8"/>
      <c r="C921" s="82" t="s">
        <v>196</v>
      </c>
      <c r="D921" s="34" t="s">
        <v>30</v>
      </c>
      <c r="E921" s="96" t="s">
        <v>91</v>
      </c>
      <c r="F921" s="72">
        <f>2.5*1.8</f>
        <v>4.5</v>
      </c>
      <c r="G921" s="11">
        <v>679000</v>
      </c>
      <c r="H921" s="37">
        <v>0.8</v>
      </c>
      <c r="I921" s="79">
        <v>1.1479999999999999</v>
      </c>
      <c r="J921" s="223">
        <f t="shared" si="128"/>
        <v>2806000</v>
      </c>
      <c r="K921" s="32">
        <f t="shared" si="129"/>
        <v>2806000</v>
      </c>
      <c r="L921" s="261">
        <f t="shared" si="123"/>
        <v>0</v>
      </c>
      <c r="M921" s="14"/>
    </row>
    <row r="922" spans="1:13" s="289" customFormat="1" ht="61.5" customHeight="1" x14ac:dyDescent="0.3">
      <c r="A922" s="69"/>
      <c r="B922" s="8"/>
      <c r="C922" s="82" t="s">
        <v>197</v>
      </c>
      <c r="D922" s="34" t="s">
        <v>52</v>
      </c>
      <c r="E922" s="27" t="s">
        <v>23</v>
      </c>
      <c r="F922" s="72">
        <f>7.85*0.9</f>
        <v>7.0649999999999995</v>
      </c>
      <c r="G922" s="11" t="s">
        <v>53</v>
      </c>
      <c r="H922" s="37">
        <v>0.8</v>
      </c>
      <c r="I922" s="79">
        <v>1.1479999999999999</v>
      </c>
      <c r="J922" s="223">
        <f t="shared" si="128"/>
        <v>1531000</v>
      </c>
      <c r="K922" s="32">
        <f t="shared" si="129"/>
        <v>1531000</v>
      </c>
      <c r="L922" s="261">
        <f t="shared" si="123"/>
        <v>0</v>
      </c>
      <c r="M922" s="14"/>
    </row>
    <row r="923" spans="1:13" s="289" customFormat="1" ht="61.5" customHeight="1" x14ac:dyDescent="0.3">
      <c r="A923" s="69"/>
      <c r="B923" s="8"/>
      <c r="C923" s="82" t="s">
        <v>853</v>
      </c>
      <c r="D923" s="34" t="s">
        <v>51</v>
      </c>
      <c r="E923" s="27" t="s">
        <v>23</v>
      </c>
      <c r="F923" s="72">
        <f>7.5*7.1</f>
        <v>53.25</v>
      </c>
      <c r="G923" s="29">
        <v>453000</v>
      </c>
      <c r="H923" s="37">
        <v>0.8</v>
      </c>
      <c r="I923" s="31">
        <v>1.1479999999999999</v>
      </c>
      <c r="J923" s="223">
        <f t="shared" si="128"/>
        <v>22154000</v>
      </c>
      <c r="K923" s="32">
        <f t="shared" si="129"/>
        <v>22154000</v>
      </c>
      <c r="L923" s="261">
        <f t="shared" si="123"/>
        <v>0</v>
      </c>
      <c r="M923" s="14"/>
    </row>
    <row r="924" spans="1:13" s="289" customFormat="1" ht="61.5" customHeight="1" x14ac:dyDescent="0.3">
      <c r="A924" s="69"/>
      <c r="B924" s="8"/>
      <c r="C924" s="143" t="s">
        <v>198</v>
      </c>
      <c r="D924" s="44" t="s">
        <v>33</v>
      </c>
      <c r="E924" s="27" t="s">
        <v>23</v>
      </c>
      <c r="F924" s="28">
        <f>5.8*0.9</f>
        <v>5.22</v>
      </c>
      <c r="G924" s="29">
        <v>453000</v>
      </c>
      <c r="H924" s="45">
        <v>0.8</v>
      </c>
      <c r="I924" s="31">
        <v>1.1479999999999999</v>
      </c>
      <c r="J924" s="223">
        <f t="shared" si="128"/>
        <v>2172000</v>
      </c>
      <c r="K924" s="32">
        <f t="shared" si="129"/>
        <v>2172000</v>
      </c>
      <c r="L924" s="261"/>
      <c r="M924" s="14"/>
    </row>
    <row r="925" spans="1:13" s="289" customFormat="1" ht="61.5" customHeight="1" x14ac:dyDescent="0.3">
      <c r="A925" s="104"/>
      <c r="B925" s="105"/>
      <c r="C925" s="113" t="s">
        <v>199</v>
      </c>
      <c r="D925" s="26" t="s">
        <v>95</v>
      </c>
      <c r="E925" s="71" t="s">
        <v>25</v>
      </c>
      <c r="F925" s="123">
        <f>(4.75*0.12*0.35)*3</f>
        <v>0.59849999999999992</v>
      </c>
      <c r="G925" s="11">
        <v>1000000</v>
      </c>
      <c r="H925" s="38">
        <v>0.8</v>
      </c>
      <c r="I925" s="31">
        <v>1.1479999999999999</v>
      </c>
      <c r="J925" s="223">
        <f t="shared" si="128"/>
        <v>550000</v>
      </c>
      <c r="K925" s="32">
        <f t="shared" si="129"/>
        <v>550000</v>
      </c>
      <c r="L925" s="262">
        <f t="shared" ref="L925:L934" si="130">J925-K925</f>
        <v>0</v>
      </c>
      <c r="M925" s="14"/>
    </row>
    <row r="926" spans="1:13" s="289" customFormat="1" ht="61.5" customHeight="1" x14ac:dyDescent="0.3">
      <c r="A926" s="69"/>
      <c r="B926" s="8"/>
      <c r="C926" s="82" t="s">
        <v>200</v>
      </c>
      <c r="D926" s="34" t="s">
        <v>66</v>
      </c>
      <c r="E926" s="27" t="s">
        <v>23</v>
      </c>
      <c r="F926" s="91">
        <f>(4.75*0.47)*3</f>
        <v>6.6974999999999998</v>
      </c>
      <c r="G926" s="29">
        <v>339000</v>
      </c>
      <c r="H926" s="38">
        <v>0.8</v>
      </c>
      <c r="I926" s="31">
        <v>1.1479999999999999</v>
      </c>
      <c r="J926" s="223">
        <f t="shared" si="128"/>
        <v>2085000</v>
      </c>
      <c r="K926" s="32">
        <f t="shared" si="129"/>
        <v>2085000</v>
      </c>
      <c r="L926" s="261">
        <f t="shared" si="130"/>
        <v>0</v>
      </c>
      <c r="M926" s="14"/>
    </row>
    <row r="927" spans="1:13" s="289" customFormat="1" ht="61.5" customHeight="1" x14ac:dyDescent="0.3">
      <c r="A927" s="69"/>
      <c r="B927" s="8"/>
      <c r="C927" s="82" t="s">
        <v>871</v>
      </c>
      <c r="D927" s="34" t="s">
        <v>101</v>
      </c>
      <c r="E927" s="71" t="s">
        <v>23</v>
      </c>
      <c r="F927" s="75">
        <f>7.3*6.3+1.4*1.25</f>
        <v>47.739999999999995</v>
      </c>
      <c r="G927" s="29">
        <v>339000</v>
      </c>
      <c r="H927" s="37">
        <v>0.8</v>
      </c>
      <c r="I927" s="31">
        <v>1.1479999999999999</v>
      </c>
      <c r="J927" s="223">
        <f t="shared" si="128"/>
        <v>14863000</v>
      </c>
      <c r="K927" s="32">
        <f t="shared" si="129"/>
        <v>14863000</v>
      </c>
      <c r="L927" s="261">
        <f t="shared" si="130"/>
        <v>0</v>
      </c>
      <c r="M927" s="14"/>
    </row>
    <row r="928" spans="1:13" s="289" customFormat="1" ht="61.5" customHeight="1" x14ac:dyDescent="0.3">
      <c r="A928" s="69"/>
      <c r="B928" s="8"/>
      <c r="C928" s="82" t="s">
        <v>201</v>
      </c>
      <c r="D928" s="42" t="s">
        <v>32</v>
      </c>
      <c r="E928" s="27" t="s">
        <v>23</v>
      </c>
      <c r="F928" s="72">
        <f>4.4*4.9</f>
        <v>21.560000000000002</v>
      </c>
      <c r="G928" s="29">
        <v>215000</v>
      </c>
      <c r="H928" s="43">
        <v>0.8</v>
      </c>
      <c r="I928" s="31">
        <v>1.1479999999999999</v>
      </c>
      <c r="J928" s="223">
        <f t="shared" si="128"/>
        <v>4257000</v>
      </c>
      <c r="K928" s="32">
        <f t="shared" si="129"/>
        <v>4257000</v>
      </c>
      <c r="L928" s="261">
        <f t="shared" si="130"/>
        <v>0</v>
      </c>
      <c r="M928" s="14"/>
    </row>
    <row r="929" spans="1:13" s="289" customFormat="1" ht="61.5" customHeight="1" x14ac:dyDescent="0.3">
      <c r="A929" s="117"/>
      <c r="B929" s="118"/>
      <c r="C929" s="106" t="s">
        <v>202</v>
      </c>
      <c r="D929" s="42" t="s">
        <v>109</v>
      </c>
      <c r="E929" s="27" t="s">
        <v>35</v>
      </c>
      <c r="F929" s="147">
        <v>3</v>
      </c>
      <c r="G929" s="148">
        <v>3200</v>
      </c>
      <c r="H929" s="50">
        <v>1</v>
      </c>
      <c r="I929" s="51">
        <v>1</v>
      </c>
      <c r="J929" s="223">
        <f t="shared" si="128"/>
        <v>10000</v>
      </c>
      <c r="K929" s="32">
        <f t="shared" si="129"/>
        <v>10000</v>
      </c>
      <c r="L929" s="261">
        <f t="shared" si="130"/>
        <v>0</v>
      </c>
      <c r="M929" s="14"/>
    </row>
    <row r="930" spans="1:13" s="289" customFormat="1" ht="61.5" customHeight="1" x14ac:dyDescent="0.3">
      <c r="A930" s="69"/>
      <c r="B930" s="8"/>
      <c r="C930" s="82" t="s">
        <v>203</v>
      </c>
      <c r="D930" s="26" t="s">
        <v>36</v>
      </c>
      <c r="E930" s="27" t="s">
        <v>35</v>
      </c>
      <c r="F930" s="74">
        <v>2</v>
      </c>
      <c r="G930" s="49">
        <v>213020</v>
      </c>
      <c r="H930" s="52">
        <v>1</v>
      </c>
      <c r="I930" s="53">
        <v>1</v>
      </c>
      <c r="J930" s="223">
        <f t="shared" si="128"/>
        <v>426000</v>
      </c>
      <c r="K930" s="32">
        <f t="shared" si="129"/>
        <v>426000</v>
      </c>
      <c r="L930" s="261">
        <f t="shared" si="130"/>
        <v>0</v>
      </c>
      <c r="M930" s="14"/>
    </row>
    <row r="931" spans="1:13" s="289" customFormat="1" ht="61.5" customHeight="1" x14ac:dyDescent="0.3">
      <c r="A931" s="69"/>
      <c r="B931" s="8"/>
      <c r="C931" s="82" t="s">
        <v>204</v>
      </c>
      <c r="D931" s="42" t="s">
        <v>205</v>
      </c>
      <c r="E931" s="27" t="s">
        <v>35</v>
      </c>
      <c r="F931" s="98">
        <v>1</v>
      </c>
      <c r="G931" s="29">
        <v>123980</v>
      </c>
      <c r="H931" s="50">
        <v>1</v>
      </c>
      <c r="I931" s="51">
        <v>1</v>
      </c>
      <c r="J931" s="223">
        <f t="shared" si="128"/>
        <v>124000</v>
      </c>
      <c r="K931" s="32">
        <f t="shared" si="129"/>
        <v>124000</v>
      </c>
      <c r="L931" s="261">
        <f t="shared" si="130"/>
        <v>0</v>
      </c>
      <c r="M931" s="14"/>
    </row>
    <row r="932" spans="1:13" s="289" customFormat="1" ht="61.5" customHeight="1" x14ac:dyDescent="0.3">
      <c r="A932" s="69"/>
      <c r="B932" s="8"/>
      <c r="C932" s="82" t="s">
        <v>206</v>
      </c>
      <c r="D932" s="26" t="s">
        <v>207</v>
      </c>
      <c r="E932" s="71" t="s">
        <v>23</v>
      </c>
      <c r="F932" s="72">
        <f>1.8*1.8</f>
        <v>3.24</v>
      </c>
      <c r="G932" s="29">
        <v>566000</v>
      </c>
      <c r="H932" s="30">
        <v>0.8</v>
      </c>
      <c r="I932" s="31">
        <v>1.1479999999999999</v>
      </c>
      <c r="J932" s="223">
        <f t="shared" si="128"/>
        <v>1684000</v>
      </c>
      <c r="K932" s="32">
        <f t="shared" si="129"/>
        <v>1684000</v>
      </c>
      <c r="L932" s="261">
        <f t="shared" si="130"/>
        <v>0</v>
      </c>
      <c r="M932" s="14"/>
    </row>
    <row r="933" spans="1:13" s="289" customFormat="1" ht="61.5" customHeight="1" x14ac:dyDescent="0.3">
      <c r="A933" s="69"/>
      <c r="B933" s="8"/>
      <c r="C933" s="82" t="s">
        <v>208</v>
      </c>
      <c r="D933" s="58" t="s">
        <v>41</v>
      </c>
      <c r="E933" s="59" t="s">
        <v>42</v>
      </c>
      <c r="F933" s="98">
        <v>5</v>
      </c>
      <c r="G933" s="11">
        <v>10650</v>
      </c>
      <c r="H933" s="60">
        <v>1</v>
      </c>
      <c r="I933" s="61">
        <v>1</v>
      </c>
      <c r="J933" s="223">
        <f t="shared" si="128"/>
        <v>53000</v>
      </c>
      <c r="K933" s="32">
        <f t="shared" si="129"/>
        <v>53000</v>
      </c>
      <c r="L933" s="261">
        <f t="shared" si="130"/>
        <v>0</v>
      </c>
      <c r="M933" s="14"/>
    </row>
    <row r="934" spans="1:13" s="289" customFormat="1" ht="61.5" customHeight="1" x14ac:dyDescent="0.3">
      <c r="A934" s="69"/>
      <c r="B934" s="8"/>
      <c r="C934" s="82" t="s">
        <v>209</v>
      </c>
      <c r="D934" s="47" t="s">
        <v>58</v>
      </c>
      <c r="E934" s="27" t="s">
        <v>35</v>
      </c>
      <c r="F934" s="98">
        <v>1</v>
      </c>
      <c r="G934" s="29">
        <v>1065100</v>
      </c>
      <c r="H934" s="50">
        <v>1</v>
      </c>
      <c r="I934" s="51">
        <v>1</v>
      </c>
      <c r="J934" s="223">
        <f t="shared" si="128"/>
        <v>1065000</v>
      </c>
      <c r="K934" s="32">
        <f t="shared" si="129"/>
        <v>1065000</v>
      </c>
      <c r="L934" s="261">
        <f t="shared" si="130"/>
        <v>0</v>
      </c>
      <c r="M934" s="14"/>
    </row>
    <row r="935" spans="1:13" s="289" customFormat="1" ht="61.5" customHeight="1" x14ac:dyDescent="0.3">
      <c r="A935" s="69"/>
      <c r="B935" s="8"/>
      <c r="C935" s="82" t="s">
        <v>210</v>
      </c>
      <c r="D935" s="62" t="s">
        <v>44</v>
      </c>
      <c r="E935" s="63" t="s">
        <v>45</v>
      </c>
      <c r="F935" s="77">
        <v>7.5</v>
      </c>
      <c r="G935" s="46">
        <v>28000</v>
      </c>
      <c r="H935" s="66">
        <v>0.8</v>
      </c>
      <c r="I935" s="31">
        <v>1.1479999999999999</v>
      </c>
      <c r="J935" s="223">
        <f t="shared" si="128"/>
        <v>193000</v>
      </c>
      <c r="K935" s="32">
        <f t="shared" si="129"/>
        <v>193000</v>
      </c>
      <c r="L935" s="261"/>
      <c r="M935" s="14"/>
    </row>
    <row r="936" spans="1:13" s="289" customFormat="1" ht="61.5" customHeight="1" x14ac:dyDescent="0.3">
      <c r="A936" s="69"/>
      <c r="B936" s="8"/>
      <c r="C936" s="82" t="s">
        <v>211</v>
      </c>
      <c r="D936" s="42" t="s">
        <v>47</v>
      </c>
      <c r="E936" s="63" t="s">
        <v>45</v>
      </c>
      <c r="F936" s="77">
        <v>7.5</v>
      </c>
      <c r="G936" s="46">
        <v>28000</v>
      </c>
      <c r="H936" s="56">
        <v>0.8</v>
      </c>
      <c r="I936" s="31">
        <v>1.1479999999999999</v>
      </c>
      <c r="J936" s="223">
        <f t="shared" si="128"/>
        <v>193000</v>
      </c>
      <c r="K936" s="32">
        <f t="shared" si="129"/>
        <v>193000</v>
      </c>
      <c r="L936" s="262">
        <f t="shared" ref="L936:L960" si="131">J936-K936</f>
        <v>0</v>
      </c>
      <c r="M936" s="14"/>
    </row>
    <row r="937" spans="1:13" s="289" customFormat="1" ht="61.5" customHeight="1" x14ac:dyDescent="0.3">
      <c r="A937" s="69"/>
      <c r="B937" s="8"/>
      <c r="C937" s="82" t="s">
        <v>212</v>
      </c>
      <c r="D937" s="34" t="s">
        <v>52</v>
      </c>
      <c r="E937" s="96" t="s">
        <v>91</v>
      </c>
      <c r="F937" s="72">
        <f>2.5*1.5</f>
        <v>3.75</v>
      </c>
      <c r="G937" s="11" t="s">
        <v>53</v>
      </c>
      <c r="H937" s="37">
        <v>0.8</v>
      </c>
      <c r="I937" s="31">
        <v>1.1479999999999999</v>
      </c>
      <c r="J937" s="223">
        <f t="shared" si="128"/>
        <v>813000</v>
      </c>
      <c r="K937" s="32">
        <f t="shared" si="129"/>
        <v>813000</v>
      </c>
      <c r="L937" s="261">
        <f t="shared" si="131"/>
        <v>0</v>
      </c>
      <c r="M937" s="14"/>
    </row>
    <row r="938" spans="1:13" s="307" customFormat="1" ht="61.5" customHeight="1" x14ac:dyDescent="0.3">
      <c r="A938" s="303">
        <v>52</v>
      </c>
      <c r="B938" s="304" t="s">
        <v>930</v>
      </c>
      <c r="C938" s="480" t="s">
        <v>1154</v>
      </c>
      <c r="D938" s="481"/>
      <c r="E938" s="481"/>
      <c r="F938" s="481"/>
      <c r="G938" s="481"/>
      <c r="H938" s="481"/>
      <c r="I938" s="482"/>
      <c r="J938" s="295">
        <f>SUM(J939:J948)</f>
        <v>129780000</v>
      </c>
      <c r="K938" s="130">
        <f>ROUND(G938*H938*I938*F938,-3)</f>
        <v>0</v>
      </c>
      <c r="L938" s="305">
        <f t="shared" si="131"/>
        <v>129780000</v>
      </c>
      <c r="M938" s="306"/>
    </row>
    <row r="939" spans="1:13" s="307" customFormat="1" ht="90" customHeight="1" x14ac:dyDescent="0.3">
      <c r="A939" s="308"/>
      <c r="B939" s="304"/>
      <c r="C939" s="128" t="s">
        <v>931</v>
      </c>
      <c r="D939" s="277"/>
      <c r="E939" s="182" t="s">
        <v>828</v>
      </c>
      <c r="F939" s="309">
        <v>31.5</v>
      </c>
      <c r="G939" s="453" t="s">
        <v>1043</v>
      </c>
      <c r="H939" s="453"/>
      <c r="I939" s="454"/>
      <c r="J939" s="310"/>
      <c r="K939" s="130"/>
      <c r="L939" s="305">
        <f t="shared" si="131"/>
        <v>0</v>
      </c>
      <c r="M939" s="306"/>
    </row>
    <row r="940" spans="1:13" s="307" customFormat="1" ht="91.5" customHeight="1" x14ac:dyDescent="0.3">
      <c r="A940" s="311"/>
      <c r="B940" s="250"/>
      <c r="C940" s="143" t="s">
        <v>932</v>
      </c>
      <c r="D940" s="312" t="s">
        <v>113</v>
      </c>
      <c r="E940" s="182" t="s">
        <v>828</v>
      </c>
      <c r="F940" s="313">
        <f>5*5.7</f>
        <v>28.5</v>
      </c>
      <c r="G940" s="314">
        <v>3224000</v>
      </c>
      <c r="H940" s="292">
        <v>0.8</v>
      </c>
      <c r="I940" s="131">
        <v>1.1479999999999999</v>
      </c>
      <c r="J940" s="229">
        <f t="shared" ref="J940:J948" si="132">ROUND(F940*G940*H940*I940,-3)</f>
        <v>84386000</v>
      </c>
      <c r="K940" s="130">
        <f t="shared" ref="K940:K949" si="133">ROUND(G940*H940*I940*F940,-3)</f>
        <v>84386000</v>
      </c>
      <c r="L940" s="305">
        <f t="shared" si="131"/>
        <v>0</v>
      </c>
      <c r="M940" s="306"/>
    </row>
    <row r="941" spans="1:13" s="307" customFormat="1" ht="61.5" customHeight="1" x14ac:dyDescent="0.3">
      <c r="A941" s="311"/>
      <c r="B941" s="250"/>
      <c r="C941" s="143" t="s">
        <v>933</v>
      </c>
      <c r="D941" s="283" t="s">
        <v>80</v>
      </c>
      <c r="E941" s="315" t="s">
        <v>828</v>
      </c>
      <c r="F941" s="313">
        <f>5.7*4.75</f>
        <v>27.074999999999999</v>
      </c>
      <c r="G941" s="314">
        <v>385000</v>
      </c>
      <c r="H941" s="292">
        <v>0.8</v>
      </c>
      <c r="I941" s="131">
        <v>1.1479999999999999</v>
      </c>
      <c r="J941" s="229">
        <f t="shared" si="132"/>
        <v>9573000</v>
      </c>
      <c r="K941" s="130">
        <f t="shared" si="133"/>
        <v>9573000</v>
      </c>
      <c r="L941" s="305">
        <f t="shared" si="131"/>
        <v>0</v>
      </c>
      <c r="M941" s="306"/>
    </row>
    <row r="942" spans="1:13" s="307" customFormat="1" ht="61.5" customHeight="1" x14ac:dyDescent="0.3">
      <c r="A942" s="311"/>
      <c r="B942" s="250"/>
      <c r="C942" s="143" t="s">
        <v>934</v>
      </c>
      <c r="D942" s="277" t="s">
        <v>56</v>
      </c>
      <c r="E942" s="182" t="s">
        <v>828</v>
      </c>
      <c r="F942" s="313">
        <f>4.7*3.4</f>
        <v>15.98</v>
      </c>
      <c r="G942" s="314">
        <v>735000</v>
      </c>
      <c r="H942" s="292">
        <v>0.8</v>
      </c>
      <c r="I942" s="131">
        <v>1.1479999999999999</v>
      </c>
      <c r="J942" s="229">
        <f t="shared" si="132"/>
        <v>10787000</v>
      </c>
      <c r="K942" s="130">
        <f t="shared" si="133"/>
        <v>10787000</v>
      </c>
      <c r="L942" s="305">
        <f t="shared" si="131"/>
        <v>0</v>
      </c>
      <c r="M942" s="306"/>
    </row>
    <row r="943" spans="1:13" s="307" customFormat="1" ht="61.5" customHeight="1" x14ac:dyDescent="0.3">
      <c r="A943" s="311"/>
      <c r="B943" s="250"/>
      <c r="C943" s="143" t="s">
        <v>935</v>
      </c>
      <c r="D943" s="277" t="s">
        <v>95</v>
      </c>
      <c r="E943" s="315" t="s">
        <v>1037</v>
      </c>
      <c r="F943" s="316">
        <f>(0.3*0.15*5)*3</f>
        <v>0.67499999999999993</v>
      </c>
      <c r="G943" s="317">
        <v>1000000</v>
      </c>
      <c r="H943" s="292">
        <v>0.8</v>
      </c>
      <c r="I943" s="131">
        <v>1.1479999999999999</v>
      </c>
      <c r="J943" s="229">
        <f t="shared" si="132"/>
        <v>620000</v>
      </c>
      <c r="K943" s="130">
        <f t="shared" si="133"/>
        <v>620000</v>
      </c>
      <c r="L943" s="305">
        <f t="shared" si="131"/>
        <v>0</v>
      </c>
      <c r="M943" s="306"/>
    </row>
    <row r="944" spans="1:13" s="307" customFormat="1" ht="61.5" customHeight="1" x14ac:dyDescent="0.3">
      <c r="A944" s="311"/>
      <c r="B944" s="250"/>
      <c r="C944" s="143" t="s">
        <v>936</v>
      </c>
      <c r="D944" s="283" t="s">
        <v>28</v>
      </c>
      <c r="E944" s="182" t="s">
        <v>828</v>
      </c>
      <c r="F944" s="313">
        <f>(0.45*5)*3</f>
        <v>6.75</v>
      </c>
      <c r="G944" s="317">
        <v>396000</v>
      </c>
      <c r="H944" s="292">
        <v>0.8</v>
      </c>
      <c r="I944" s="131">
        <v>1.1479999999999999</v>
      </c>
      <c r="J944" s="229">
        <f t="shared" si="132"/>
        <v>2455000</v>
      </c>
      <c r="K944" s="130">
        <f t="shared" si="133"/>
        <v>2455000</v>
      </c>
      <c r="L944" s="305">
        <f t="shared" si="131"/>
        <v>0</v>
      </c>
      <c r="M944" s="306"/>
    </row>
    <row r="945" spans="1:13" s="307" customFormat="1" ht="61.5" customHeight="1" x14ac:dyDescent="0.3">
      <c r="A945" s="311"/>
      <c r="B945" s="250"/>
      <c r="C945" s="143" t="s">
        <v>937</v>
      </c>
      <c r="D945" s="283" t="s">
        <v>31</v>
      </c>
      <c r="E945" s="182" t="s">
        <v>828</v>
      </c>
      <c r="F945" s="313">
        <f>5.9*5</f>
        <v>29.5</v>
      </c>
      <c r="G945" s="314">
        <v>339000</v>
      </c>
      <c r="H945" s="292">
        <v>0.8</v>
      </c>
      <c r="I945" s="131">
        <v>1.1479999999999999</v>
      </c>
      <c r="J945" s="229">
        <f t="shared" si="132"/>
        <v>9184000</v>
      </c>
      <c r="K945" s="130">
        <f t="shared" si="133"/>
        <v>9184000</v>
      </c>
      <c r="L945" s="305">
        <f t="shared" si="131"/>
        <v>0</v>
      </c>
      <c r="M945" s="306"/>
    </row>
    <row r="946" spans="1:13" s="307" customFormat="1" ht="61.5" customHeight="1" x14ac:dyDescent="0.3">
      <c r="A946" s="311"/>
      <c r="B946" s="250"/>
      <c r="C946" s="143" t="s">
        <v>938</v>
      </c>
      <c r="D946" s="283" t="s">
        <v>55</v>
      </c>
      <c r="E946" s="182" t="s">
        <v>828</v>
      </c>
      <c r="F946" s="313">
        <f>5*3</f>
        <v>15</v>
      </c>
      <c r="G946" s="314">
        <v>905000</v>
      </c>
      <c r="H946" s="292">
        <v>0.8</v>
      </c>
      <c r="I946" s="318">
        <v>1.1479999999999999</v>
      </c>
      <c r="J946" s="229">
        <f t="shared" si="132"/>
        <v>12467000</v>
      </c>
      <c r="K946" s="130">
        <f t="shared" si="133"/>
        <v>12467000</v>
      </c>
      <c r="L946" s="305">
        <f t="shared" si="131"/>
        <v>0</v>
      </c>
      <c r="M946" s="306"/>
    </row>
    <row r="947" spans="1:13" s="307" customFormat="1" ht="61.5" customHeight="1" x14ac:dyDescent="0.3">
      <c r="A947" s="311"/>
      <c r="B947" s="250"/>
      <c r="C947" s="143" t="s">
        <v>43</v>
      </c>
      <c r="D947" s="277" t="s">
        <v>44</v>
      </c>
      <c r="E947" s="182" t="s">
        <v>45</v>
      </c>
      <c r="F947" s="313">
        <v>6</v>
      </c>
      <c r="G947" s="314">
        <v>28000</v>
      </c>
      <c r="H947" s="292">
        <v>0.8</v>
      </c>
      <c r="I947" s="131">
        <v>1.1479999999999999</v>
      </c>
      <c r="J947" s="229">
        <f t="shared" si="132"/>
        <v>154000</v>
      </c>
      <c r="K947" s="130">
        <f t="shared" si="133"/>
        <v>154000</v>
      </c>
      <c r="L947" s="305">
        <f t="shared" si="131"/>
        <v>0</v>
      </c>
      <c r="M947" s="306"/>
    </row>
    <row r="948" spans="1:13" s="307" customFormat="1" ht="61.5" customHeight="1" x14ac:dyDescent="0.3">
      <c r="A948" s="311"/>
      <c r="B948" s="250"/>
      <c r="C948" s="143" t="s">
        <v>46</v>
      </c>
      <c r="D948" s="277" t="s">
        <v>47</v>
      </c>
      <c r="E948" s="182" t="s">
        <v>45</v>
      </c>
      <c r="F948" s="319">
        <v>6</v>
      </c>
      <c r="G948" s="314">
        <v>28000</v>
      </c>
      <c r="H948" s="292">
        <v>0.8</v>
      </c>
      <c r="I948" s="131">
        <v>1.1479999999999999</v>
      </c>
      <c r="J948" s="229">
        <f t="shared" si="132"/>
        <v>154000</v>
      </c>
      <c r="K948" s="130">
        <f t="shared" si="133"/>
        <v>154000</v>
      </c>
      <c r="L948" s="305">
        <f t="shared" si="131"/>
        <v>0</v>
      </c>
      <c r="M948" s="306"/>
    </row>
    <row r="949" spans="1:13" s="307" customFormat="1" ht="61.5" customHeight="1" x14ac:dyDescent="0.3">
      <c r="A949" s="303">
        <v>53</v>
      </c>
      <c r="B949" s="304" t="s">
        <v>939</v>
      </c>
      <c r="C949" s="480" t="s">
        <v>1155</v>
      </c>
      <c r="D949" s="481"/>
      <c r="E949" s="481"/>
      <c r="F949" s="481"/>
      <c r="G949" s="481"/>
      <c r="H949" s="481"/>
      <c r="I949" s="482"/>
      <c r="J949" s="295">
        <f>SUM(J950:J958)</f>
        <v>92432000</v>
      </c>
      <c r="K949" s="130">
        <f t="shared" si="133"/>
        <v>0</v>
      </c>
      <c r="L949" s="305">
        <f t="shared" si="131"/>
        <v>92432000</v>
      </c>
      <c r="M949" s="306"/>
    </row>
    <row r="950" spans="1:13" s="307" customFormat="1" ht="90" customHeight="1" x14ac:dyDescent="0.3">
      <c r="A950" s="308"/>
      <c r="B950" s="304"/>
      <c r="C950" s="128" t="s">
        <v>940</v>
      </c>
      <c r="D950" s="277"/>
      <c r="E950" s="182" t="s">
        <v>828</v>
      </c>
      <c r="F950" s="309">
        <v>23.7</v>
      </c>
      <c r="G950" s="453" t="s">
        <v>1043</v>
      </c>
      <c r="H950" s="453"/>
      <c r="I950" s="454"/>
      <c r="J950" s="310"/>
      <c r="K950" s="130"/>
      <c r="L950" s="305">
        <f t="shared" si="131"/>
        <v>0</v>
      </c>
      <c r="M950" s="306"/>
    </row>
    <row r="951" spans="1:13" s="307" customFormat="1" ht="61.5" customHeight="1" x14ac:dyDescent="0.3">
      <c r="A951" s="311"/>
      <c r="B951" s="250"/>
      <c r="C951" s="143" t="s">
        <v>941</v>
      </c>
      <c r="D951" s="312" t="s">
        <v>88</v>
      </c>
      <c r="E951" s="250" t="s">
        <v>1037</v>
      </c>
      <c r="F951" s="320">
        <f>(0.4*0.4*2)*2</f>
        <v>0.64000000000000012</v>
      </c>
      <c r="G951" s="317">
        <v>2828000</v>
      </c>
      <c r="H951" s="292">
        <v>0.8</v>
      </c>
      <c r="I951" s="131">
        <v>1.1479999999999999</v>
      </c>
      <c r="J951" s="229">
        <f t="shared" ref="J951:J958" si="134">ROUND(F951*G951*H951*I951,-3)</f>
        <v>1662000</v>
      </c>
      <c r="K951" s="130">
        <f t="shared" ref="K951:K959" si="135">ROUND(G951*H951*I951*F951,-3)</f>
        <v>1662000</v>
      </c>
      <c r="L951" s="305">
        <f t="shared" si="131"/>
        <v>0</v>
      </c>
      <c r="M951" s="306"/>
    </row>
    <row r="952" spans="1:13" s="307" customFormat="1" ht="61.5" customHeight="1" x14ac:dyDescent="0.3">
      <c r="A952" s="311"/>
      <c r="B952" s="250"/>
      <c r="C952" s="143" t="s">
        <v>942</v>
      </c>
      <c r="D952" s="277" t="s">
        <v>207</v>
      </c>
      <c r="E952" s="315" t="s">
        <v>828</v>
      </c>
      <c r="F952" s="313">
        <f>2*1.8</f>
        <v>3.6</v>
      </c>
      <c r="G952" s="314">
        <v>566000</v>
      </c>
      <c r="H952" s="292">
        <v>0.8</v>
      </c>
      <c r="I952" s="131">
        <v>1.1479999999999999</v>
      </c>
      <c r="J952" s="229">
        <f t="shared" si="134"/>
        <v>1871000</v>
      </c>
      <c r="K952" s="130">
        <f t="shared" si="135"/>
        <v>1871000</v>
      </c>
      <c r="L952" s="305">
        <f t="shared" si="131"/>
        <v>0</v>
      </c>
      <c r="M952" s="306"/>
    </row>
    <row r="953" spans="1:13" s="307" customFormat="1" ht="61.5" customHeight="1" x14ac:dyDescent="0.3">
      <c r="A953" s="311"/>
      <c r="B953" s="250"/>
      <c r="C953" s="143" t="s">
        <v>943</v>
      </c>
      <c r="D953" s="277" t="s">
        <v>89</v>
      </c>
      <c r="E953" s="315" t="s">
        <v>828</v>
      </c>
      <c r="F953" s="313">
        <f>5.5*1.2</f>
        <v>6.6</v>
      </c>
      <c r="G953" s="314">
        <v>11000</v>
      </c>
      <c r="H953" s="292">
        <v>0.8</v>
      </c>
      <c r="I953" s="131">
        <v>1.1479999999999999</v>
      </c>
      <c r="J953" s="229">
        <f t="shared" si="134"/>
        <v>67000</v>
      </c>
      <c r="K953" s="130">
        <f t="shared" si="135"/>
        <v>67000</v>
      </c>
      <c r="L953" s="305">
        <f t="shared" si="131"/>
        <v>0</v>
      </c>
      <c r="M953" s="306"/>
    </row>
    <row r="954" spans="1:13" s="307" customFormat="1" ht="61.5" customHeight="1" x14ac:dyDescent="0.3">
      <c r="A954" s="311"/>
      <c r="B954" s="250"/>
      <c r="C954" s="143" t="s">
        <v>944</v>
      </c>
      <c r="D954" s="283" t="s">
        <v>29</v>
      </c>
      <c r="E954" s="182" t="s">
        <v>828</v>
      </c>
      <c r="F954" s="316">
        <f>1.2*1.1</f>
        <v>1.32</v>
      </c>
      <c r="G954" s="314">
        <v>792000</v>
      </c>
      <c r="H954" s="292">
        <v>0.8</v>
      </c>
      <c r="I954" s="131">
        <v>1.1479999999999999</v>
      </c>
      <c r="J954" s="229">
        <f t="shared" si="134"/>
        <v>960000</v>
      </c>
      <c r="K954" s="130">
        <f t="shared" si="135"/>
        <v>960000</v>
      </c>
      <c r="L954" s="305">
        <f t="shared" si="131"/>
        <v>0</v>
      </c>
      <c r="M954" s="306"/>
    </row>
    <row r="955" spans="1:13" s="307" customFormat="1" ht="61.5" customHeight="1" x14ac:dyDescent="0.3">
      <c r="A955" s="311"/>
      <c r="B955" s="250"/>
      <c r="C955" s="143" t="s">
        <v>945</v>
      </c>
      <c r="D955" s="283" t="s">
        <v>51</v>
      </c>
      <c r="E955" s="182" t="s">
        <v>828</v>
      </c>
      <c r="F955" s="316">
        <f>4.55*4</f>
        <v>18.2</v>
      </c>
      <c r="G955" s="314">
        <v>453000</v>
      </c>
      <c r="H955" s="292">
        <v>0.8</v>
      </c>
      <c r="I955" s="131">
        <v>1.1479999999999999</v>
      </c>
      <c r="J955" s="229">
        <f t="shared" si="134"/>
        <v>7572000</v>
      </c>
      <c r="K955" s="130">
        <f t="shared" si="135"/>
        <v>7572000</v>
      </c>
      <c r="L955" s="305">
        <f t="shared" si="131"/>
        <v>0</v>
      </c>
      <c r="M955" s="306"/>
    </row>
    <row r="956" spans="1:13" s="307" customFormat="1" ht="61.5" customHeight="1" x14ac:dyDescent="0.3">
      <c r="A956" s="311"/>
      <c r="B956" s="250"/>
      <c r="C956" s="143" t="s">
        <v>946</v>
      </c>
      <c r="D956" s="277" t="s">
        <v>32</v>
      </c>
      <c r="E956" s="182" t="s">
        <v>828</v>
      </c>
      <c r="F956" s="313">
        <f>5.5*4</f>
        <v>22</v>
      </c>
      <c r="G956" s="314">
        <v>215000</v>
      </c>
      <c r="H956" s="292">
        <v>0.8</v>
      </c>
      <c r="I956" s="131">
        <v>1.1479999999999999</v>
      </c>
      <c r="J956" s="229">
        <f t="shared" si="134"/>
        <v>4344000</v>
      </c>
      <c r="K956" s="130">
        <f t="shared" si="135"/>
        <v>4344000</v>
      </c>
      <c r="L956" s="305">
        <f t="shared" si="131"/>
        <v>0</v>
      </c>
      <c r="M956" s="306"/>
    </row>
    <row r="957" spans="1:13" s="307" customFormat="1" ht="61.5" customHeight="1" x14ac:dyDescent="0.3">
      <c r="A957" s="311"/>
      <c r="B957" s="250"/>
      <c r="C957" s="143" t="s">
        <v>947</v>
      </c>
      <c r="D957" s="277" t="s">
        <v>24</v>
      </c>
      <c r="E957" s="250" t="s">
        <v>1037</v>
      </c>
      <c r="F957" s="320">
        <f>1*4*0.2</f>
        <v>0.8</v>
      </c>
      <c r="G957" s="314">
        <v>2828000</v>
      </c>
      <c r="H957" s="292">
        <v>0.8</v>
      </c>
      <c r="I957" s="131">
        <v>1.1479999999999999</v>
      </c>
      <c r="J957" s="229">
        <f t="shared" si="134"/>
        <v>2078000</v>
      </c>
      <c r="K957" s="130">
        <f t="shared" si="135"/>
        <v>2078000</v>
      </c>
      <c r="L957" s="305">
        <f t="shared" si="131"/>
        <v>0</v>
      </c>
      <c r="M957" s="306"/>
    </row>
    <row r="958" spans="1:13" s="307" customFormat="1" ht="134.25" customHeight="1" x14ac:dyDescent="0.3">
      <c r="A958" s="311"/>
      <c r="B958" s="250"/>
      <c r="C958" s="143" t="s">
        <v>948</v>
      </c>
      <c r="D958" s="312" t="s">
        <v>1031</v>
      </c>
      <c r="E958" s="182" t="s">
        <v>828</v>
      </c>
      <c r="F958" s="313">
        <f>4*4.5</f>
        <v>18</v>
      </c>
      <c r="G958" s="314">
        <v>4469000</v>
      </c>
      <c r="H958" s="292">
        <v>0.8</v>
      </c>
      <c r="I958" s="131">
        <v>1.1479999999999999</v>
      </c>
      <c r="J958" s="229">
        <f t="shared" si="134"/>
        <v>73878000</v>
      </c>
      <c r="K958" s="130">
        <f t="shared" si="135"/>
        <v>73878000</v>
      </c>
      <c r="L958" s="305">
        <f t="shared" si="131"/>
        <v>0</v>
      </c>
      <c r="M958" s="306"/>
    </row>
    <row r="959" spans="1:13" s="307" customFormat="1" ht="61.5" customHeight="1" x14ac:dyDescent="0.3">
      <c r="A959" s="303">
        <v>54</v>
      </c>
      <c r="B959" s="304" t="s">
        <v>985</v>
      </c>
      <c r="C959" s="480" t="s">
        <v>1156</v>
      </c>
      <c r="D959" s="481"/>
      <c r="E959" s="481"/>
      <c r="F959" s="481"/>
      <c r="G959" s="481"/>
      <c r="H959" s="481"/>
      <c r="I959" s="482"/>
      <c r="J959" s="295">
        <f>SUM(J960:J965)</f>
        <v>53389000</v>
      </c>
      <c r="K959" s="130">
        <f t="shared" si="135"/>
        <v>0</v>
      </c>
      <c r="L959" s="305">
        <f t="shared" si="131"/>
        <v>53389000</v>
      </c>
      <c r="M959" s="306"/>
    </row>
    <row r="960" spans="1:13" s="307" customFormat="1" ht="90" customHeight="1" x14ac:dyDescent="0.3">
      <c r="A960" s="308"/>
      <c r="B960" s="304"/>
      <c r="C960" s="128" t="s">
        <v>986</v>
      </c>
      <c r="D960" s="277"/>
      <c r="E960" s="182" t="s">
        <v>828</v>
      </c>
      <c r="F960" s="309">
        <v>49.7</v>
      </c>
      <c r="G960" s="453" t="s">
        <v>1043</v>
      </c>
      <c r="H960" s="453"/>
      <c r="I960" s="454"/>
      <c r="J960" s="310"/>
      <c r="K960" s="130"/>
      <c r="L960" s="305">
        <f t="shared" si="131"/>
        <v>0</v>
      </c>
      <c r="M960" s="306"/>
    </row>
    <row r="961" spans="1:256" s="307" customFormat="1" ht="61.5" customHeight="1" x14ac:dyDescent="0.3">
      <c r="A961" s="311"/>
      <c r="B961" s="250"/>
      <c r="C961" s="143" t="s">
        <v>991</v>
      </c>
      <c r="D961" s="283" t="s">
        <v>51</v>
      </c>
      <c r="E961" s="182" t="s">
        <v>828</v>
      </c>
      <c r="F961" s="320">
        <f>10*4.4</f>
        <v>44</v>
      </c>
      <c r="G961" s="314">
        <v>453000</v>
      </c>
      <c r="H961" s="292">
        <v>0.8</v>
      </c>
      <c r="I961" s="131">
        <v>1.1479999999999999</v>
      </c>
      <c r="J961" s="229">
        <f>ROUND(F961*G961*H961*I961,-3)</f>
        <v>18306000</v>
      </c>
      <c r="K961" s="130">
        <f t="shared" ref="K961:K966" si="136">ROUND(G961*H961*I961*F961,-3)</f>
        <v>18306000</v>
      </c>
      <c r="L961" s="305">
        <f t="shared" ref="L961:L1001" si="137">J961-K961</f>
        <v>0</v>
      </c>
      <c r="M961" s="306"/>
    </row>
    <row r="962" spans="1:256" s="307" customFormat="1" ht="61.5" customHeight="1" x14ac:dyDescent="0.3">
      <c r="A962" s="311"/>
      <c r="B962" s="250"/>
      <c r="C962" s="143" t="s">
        <v>987</v>
      </c>
      <c r="D962" s="283" t="s">
        <v>52</v>
      </c>
      <c r="E962" s="182" t="s">
        <v>828</v>
      </c>
      <c r="F962" s="313">
        <f>(4.4*3.5)*2+6.3*3.5</f>
        <v>52.850000000000009</v>
      </c>
      <c r="G962" s="317" t="s">
        <v>53</v>
      </c>
      <c r="H962" s="292">
        <v>0.8</v>
      </c>
      <c r="I962" s="321">
        <v>1.1479999999999999</v>
      </c>
      <c r="J962" s="229">
        <f>ROUND(F962*G962*H962*I962,-3)</f>
        <v>11455000</v>
      </c>
      <c r="K962" s="130">
        <f t="shared" si="136"/>
        <v>11455000</v>
      </c>
      <c r="L962" s="305">
        <f t="shared" si="137"/>
        <v>0</v>
      </c>
      <c r="M962" s="306"/>
    </row>
    <row r="963" spans="1:256" s="307" customFormat="1" ht="61.5" customHeight="1" x14ac:dyDescent="0.3">
      <c r="A963" s="311"/>
      <c r="B963" s="250"/>
      <c r="C963" s="143" t="s">
        <v>988</v>
      </c>
      <c r="D963" s="277" t="s">
        <v>89</v>
      </c>
      <c r="E963" s="315" t="s">
        <v>828</v>
      </c>
      <c r="F963" s="313">
        <f>3.7*3.5</f>
        <v>12.950000000000001</v>
      </c>
      <c r="G963" s="314">
        <v>11000</v>
      </c>
      <c r="H963" s="292">
        <v>0.8</v>
      </c>
      <c r="I963" s="131">
        <v>1.1479999999999999</v>
      </c>
      <c r="J963" s="229">
        <f>ROUND(F963*G963*H963*I963,-3)</f>
        <v>131000</v>
      </c>
      <c r="K963" s="130">
        <f t="shared" si="136"/>
        <v>131000</v>
      </c>
      <c r="L963" s="305">
        <f t="shared" si="137"/>
        <v>0</v>
      </c>
      <c r="M963" s="306"/>
    </row>
    <row r="964" spans="1:256" s="307" customFormat="1" ht="61.5" customHeight="1" x14ac:dyDescent="0.3">
      <c r="A964" s="311"/>
      <c r="B964" s="250"/>
      <c r="C964" s="143" t="s">
        <v>989</v>
      </c>
      <c r="D964" s="277" t="s">
        <v>32</v>
      </c>
      <c r="E964" s="182" t="s">
        <v>828</v>
      </c>
      <c r="F964" s="316">
        <f>10*4.4</f>
        <v>44</v>
      </c>
      <c r="G964" s="314">
        <v>215000</v>
      </c>
      <c r="H964" s="292">
        <v>0.8</v>
      </c>
      <c r="I964" s="131">
        <v>1.1479999999999999</v>
      </c>
      <c r="J964" s="229">
        <f>ROUND(F964*G964*H964*I964,-3)</f>
        <v>8688000</v>
      </c>
      <c r="K964" s="130">
        <f t="shared" si="136"/>
        <v>8688000</v>
      </c>
      <c r="L964" s="305">
        <f t="shared" si="137"/>
        <v>0</v>
      </c>
      <c r="M964" s="306"/>
    </row>
    <row r="965" spans="1:256" s="307" customFormat="1" ht="61.5" customHeight="1" x14ac:dyDescent="0.3">
      <c r="A965" s="311"/>
      <c r="B965" s="250"/>
      <c r="C965" s="143" t="s">
        <v>990</v>
      </c>
      <c r="D965" s="277" t="s">
        <v>32</v>
      </c>
      <c r="E965" s="182" t="s">
        <v>828</v>
      </c>
      <c r="F965" s="316">
        <f>10*7.5</f>
        <v>75</v>
      </c>
      <c r="G965" s="314">
        <v>215000</v>
      </c>
      <c r="H965" s="292">
        <v>0.8</v>
      </c>
      <c r="I965" s="131">
        <v>1.1479999999999999</v>
      </c>
      <c r="J965" s="229">
        <f>ROUND(F965*G965*H965*I965,-3)</f>
        <v>14809000</v>
      </c>
      <c r="K965" s="130">
        <f t="shared" si="136"/>
        <v>14809000</v>
      </c>
      <c r="L965" s="305">
        <f t="shared" si="137"/>
        <v>0</v>
      </c>
      <c r="M965" s="306"/>
    </row>
    <row r="966" spans="1:256" ht="61.5" customHeight="1" x14ac:dyDescent="0.3">
      <c r="A966" s="149">
        <v>55</v>
      </c>
      <c r="B966" s="109" t="s">
        <v>949</v>
      </c>
      <c r="C966" s="455" t="s">
        <v>950</v>
      </c>
      <c r="D966" s="456"/>
      <c r="E966" s="456"/>
      <c r="F966" s="456"/>
      <c r="G966" s="456"/>
      <c r="H966" s="456"/>
      <c r="I966" s="457"/>
      <c r="J966" s="221">
        <f>SUM(J967:J992)</f>
        <v>655885000</v>
      </c>
      <c r="K966" s="32">
        <f t="shared" si="136"/>
        <v>0</v>
      </c>
      <c r="L966" s="261">
        <f t="shared" si="137"/>
        <v>655885000</v>
      </c>
      <c r="M966" s="24"/>
    </row>
    <row r="967" spans="1:256" s="290" customFormat="1" ht="81.75" customHeight="1" x14ac:dyDescent="0.3">
      <c r="A967" s="211"/>
      <c r="B967" s="17"/>
      <c r="C967" s="25" t="s">
        <v>1158</v>
      </c>
      <c r="D967" s="267" t="s">
        <v>112</v>
      </c>
      <c r="E967" s="27" t="s">
        <v>23</v>
      </c>
      <c r="F967" s="35">
        <v>0.6</v>
      </c>
      <c r="G967" s="49">
        <v>11100000</v>
      </c>
      <c r="H967" s="286">
        <v>1</v>
      </c>
      <c r="I967" s="268">
        <v>1.4</v>
      </c>
      <c r="J967" s="32">
        <f>ROUND(F967*G967*H967*I967,-3)</f>
        <v>9324000</v>
      </c>
      <c r="K967" s="39">
        <f>ROUND(F967*G967*H967*I967,-3)</f>
        <v>9324000</v>
      </c>
      <c r="L967" s="261">
        <f t="shared" si="137"/>
        <v>0</v>
      </c>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c r="AM967" s="14"/>
      <c r="AN967" s="14"/>
      <c r="AO967" s="14"/>
      <c r="AP967" s="14"/>
      <c r="AQ967" s="14"/>
      <c r="AR967" s="14"/>
      <c r="AS967" s="14"/>
      <c r="AT967" s="14"/>
      <c r="AU967" s="14"/>
      <c r="AV967" s="14"/>
      <c r="AW967" s="14"/>
      <c r="AX967" s="14"/>
      <c r="AY967" s="14"/>
      <c r="AZ967" s="14"/>
      <c r="BA967" s="14"/>
      <c r="BB967" s="14"/>
      <c r="BC967" s="14"/>
      <c r="BD967" s="14"/>
      <c r="BE967" s="14"/>
      <c r="BF967" s="14"/>
      <c r="BG967" s="14"/>
      <c r="BH967" s="14"/>
      <c r="BI967" s="14"/>
      <c r="BJ967" s="14"/>
      <c r="BK967" s="14"/>
      <c r="BL967" s="14"/>
      <c r="BM967" s="14"/>
      <c r="BN967" s="14"/>
      <c r="BO967" s="14"/>
      <c r="BP967" s="14"/>
      <c r="BQ967" s="14"/>
      <c r="BR967" s="14"/>
      <c r="BS967" s="14"/>
      <c r="BT967" s="14"/>
      <c r="BU967" s="14"/>
      <c r="BV967" s="14"/>
      <c r="BW967" s="14"/>
      <c r="BX967" s="14"/>
      <c r="BY967" s="14"/>
      <c r="BZ967" s="14"/>
      <c r="CA967" s="14"/>
      <c r="CB967" s="14"/>
      <c r="CC967" s="14"/>
      <c r="CD967" s="14"/>
      <c r="CE967" s="14"/>
      <c r="CF967" s="14"/>
      <c r="CG967" s="14"/>
      <c r="CH967" s="14"/>
      <c r="CI967" s="14"/>
      <c r="CJ967" s="14"/>
      <c r="CK967" s="14"/>
      <c r="CL967" s="14"/>
      <c r="CM967" s="14"/>
      <c r="CN967" s="14"/>
      <c r="CO967" s="14"/>
      <c r="CP967" s="14"/>
      <c r="CQ967" s="14"/>
      <c r="CR967" s="14"/>
      <c r="CS967" s="14"/>
      <c r="CT967" s="14"/>
      <c r="CU967" s="14"/>
      <c r="CV967" s="14"/>
      <c r="CW967" s="14"/>
      <c r="CX967" s="14"/>
      <c r="CY967" s="14"/>
      <c r="CZ967" s="14"/>
      <c r="DA967" s="14"/>
      <c r="DB967" s="14"/>
      <c r="DC967" s="14"/>
      <c r="DD967" s="14"/>
      <c r="DE967" s="14"/>
      <c r="DF967" s="14"/>
      <c r="DG967" s="14"/>
      <c r="DH967" s="14"/>
      <c r="DI967" s="14"/>
      <c r="DJ967" s="14"/>
      <c r="DK967" s="14"/>
      <c r="DL967" s="14"/>
      <c r="DM967" s="14"/>
      <c r="DN967" s="14"/>
      <c r="DO967" s="14"/>
      <c r="DP967" s="14"/>
      <c r="DQ967" s="14"/>
      <c r="DR967" s="14"/>
      <c r="DS967" s="14"/>
      <c r="DT967" s="14"/>
      <c r="DU967" s="14"/>
      <c r="DV967" s="14"/>
      <c r="DW967" s="14"/>
      <c r="DX967" s="14"/>
      <c r="DY967" s="14"/>
      <c r="DZ967" s="14"/>
      <c r="EA967" s="14"/>
      <c r="EB967" s="14"/>
      <c r="EC967" s="14"/>
      <c r="ED967" s="14"/>
      <c r="EE967" s="14"/>
      <c r="EF967" s="14"/>
      <c r="EG967" s="14"/>
      <c r="EH967" s="14"/>
      <c r="EI967" s="14"/>
      <c r="EJ967" s="14"/>
      <c r="EK967" s="14"/>
      <c r="EL967" s="14"/>
      <c r="EM967" s="14"/>
      <c r="EN967" s="14"/>
      <c r="EO967" s="14"/>
      <c r="EP967" s="14"/>
      <c r="EQ967" s="14"/>
      <c r="ER967" s="14"/>
      <c r="ES967" s="14"/>
      <c r="ET967" s="14"/>
      <c r="EU967" s="14"/>
      <c r="EV967" s="14"/>
      <c r="EW967" s="14"/>
      <c r="EX967" s="14"/>
      <c r="EY967" s="14"/>
      <c r="EZ967" s="14"/>
      <c r="FA967" s="14"/>
      <c r="FB967" s="14"/>
      <c r="FC967" s="14"/>
      <c r="FD967" s="14"/>
      <c r="FE967" s="14"/>
      <c r="FF967" s="14"/>
      <c r="FG967" s="14"/>
      <c r="FH967" s="14"/>
      <c r="FI967" s="14"/>
      <c r="FJ967" s="14"/>
      <c r="FK967" s="14"/>
      <c r="FL967" s="14"/>
      <c r="FM967" s="14"/>
      <c r="FN967" s="14"/>
      <c r="FO967" s="14"/>
      <c r="FP967" s="14"/>
      <c r="FQ967" s="14"/>
      <c r="FR967" s="14"/>
      <c r="FS967" s="14"/>
      <c r="FT967" s="14"/>
      <c r="FU967" s="14"/>
      <c r="FV967" s="14"/>
      <c r="FW967" s="14"/>
      <c r="FX967" s="14"/>
      <c r="FY967" s="14"/>
      <c r="FZ967" s="14"/>
      <c r="GA967" s="14"/>
      <c r="GB967" s="14"/>
      <c r="GC967" s="14"/>
      <c r="GD967" s="14"/>
      <c r="GE967" s="14"/>
      <c r="GF967" s="14"/>
      <c r="GG967" s="14"/>
      <c r="GH967" s="14"/>
      <c r="GI967" s="14"/>
      <c r="GJ967" s="14"/>
      <c r="GK967" s="14"/>
      <c r="GL967" s="14"/>
      <c r="GM967" s="14"/>
      <c r="GN967" s="14"/>
      <c r="GO967" s="14"/>
      <c r="GP967" s="14"/>
      <c r="GQ967" s="14"/>
      <c r="GR967" s="14"/>
      <c r="GS967" s="14"/>
      <c r="GT967" s="14"/>
      <c r="GU967" s="14"/>
      <c r="GV967" s="14"/>
      <c r="GW967" s="14"/>
      <c r="GX967" s="14"/>
      <c r="GY967" s="14"/>
      <c r="GZ967" s="14"/>
      <c r="HA967" s="14"/>
      <c r="HB967" s="14"/>
      <c r="HC967" s="14"/>
      <c r="HD967" s="14"/>
      <c r="HE967" s="14"/>
      <c r="HF967" s="14"/>
      <c r="HG967" s="14"/>
      <c r="HH967" s="14"/>
      <c r="HI967" s="14"/>
      <c r="HJ967" s="14"/>
      <c r="HK967" s="14"/>
      <c r="HL967" s="14"/>
      <c r="HM967" s="14"/>
      <c r="HN967" s="14"/>
      <c r="HO967" s="14"/>
      <c r="HP967" s="14"/>
      <c r="HQ967" s="14"/>
      <c r="HR967" s="14"/>
      <c r="HS967" s="14"/>
      <c r="HT967" s="14"/>
      <c r="HU967" s="14"/>
      <c r="HV967" s="14"/>
      <c r="HW967" s="14"/>
      <c r="HX967" s="14"/>
      <c r="HY967" s="14"/>
      <c r="HZ967" s="14"/>
      <c r="IA967" s="14"/>
      <c r="IB967" s="14"/>
      <c r="IC967" s="14"/>
      <c r="ID967" s="14"/>
      <c r="IE967" s="14"/>
      <c r="IF967" s="14"/>
      <c r="IG967" s="14"/>
      <c r="IH967" s="14"/>
      <c r="II967" s="14"/>
      <c r="IJ967" s="14"/>
      <c r="IK967" s="14"/>
      <c r="IL967" s="14"/>
      <c r="IM967" s="14"/>
      <c r="IN967" s="14"/>
      <c r="IO967" s="14"/>
      <c r="IP967" s="14"/>
      <c r="IQ967" s="14"/>
      <c r="IR967" s="14"/>
      <c r="IS967" s="14"/>
      <c r="IT967" s="14"/>
      <c r="IU967" s="14"/>
      <c r="IV967" s="14"/>
    </row>
    <row r="968" spans="1:256" s="289" customFormat="1" ht="90" customHeight="1" x14ac:dyDescent="0.25">
      <c r="A968" s="67"/>
      <c r="B968" s="68"/>
      <c r="C968" s="25" t="s">
        <v>1062</v>
      </c>
      <c r="D968" s="267" t="s">
        <v>112</v>
      </c>
      <c r="E968" s="27" t="s">
        <v>23</v>
      </c>
      <c r="F968" s="35">
        <v>86.9</v>
      </c>
      <c r="G968" s="464" t="s">
        <v>1118</v>
      </c>
      <c r="H968" s="464"/>
      <c r="I968" s="465"/>
      <c r="J968" s="227"/>
      <c r="K968" s="32"/>
      <c r="L968" s="261">
        <f t="shared" si="137"/>
        <v>0</v>
      </c>
      <c r="M968" s="251"/>
    </row>
    <row r="969" spans="1:256" ht="122.25" customHeight="1" x14ac:dyDescent="0.3">
      <c r="A969" s="69"/>
      <c r="B969" s="8"/>
      <c r="C969" s="82" t="s">
        <v>951</v>
      </c>
      <c r="D969" s="269" t="s">
        <v>1032</v>
      </c>
      <c r="E969" s="27" t="s">
        <v>23</v>
      </c>
      <c r="F969" s="72">
        <f>(4.8*3)*4</f>
        <v>57.599999999999994</v>
      </c>
      <c r="G969" s="11">
        <v>6207000</v>
      </c>
      <c r="H969" s="45">
        <v>0.8</v>
      </c>
      <c r="I969" s="31">
        <v>1.1479999999999999</v>
      </c>
      <c r="J969" s="223">
        <f t="shared" ref="J969:J992" si="138">ROUND(F969*G969*H969*I969,-3)</f>
        <v>328349000</v>
      </c>
      <c r="K969" s="32">
        <f t="shared" ref="K969:K992" si="139">ROUND(G969*H969*I969*F969,-3)</f>
        <v>328349000</v>
      </c>
      <c r="L969" s="261">
        <f t="shared" si="137"/>
        <v>0</v>
      </c>
      <c r="M969" s="14"/>
    </row>
    <row r="970" spans="1:256" ht="99" customHeight="1" x14ac:dyDescent="0.3">
      <c r="A970" s="69"/>
      <c r="B970" s="8"/>
      <c r="C970" s="82" t="s">
        <v>952</v>
      </c>
      <c r="D970" s="269" t="s">
        <v>1032</v>
      </c>
      <c r="E970" s="27" t="s">
        <v>23</v>
      </c>
      <c r="F970" s="72">
        <f>2.55*3+(1.3*8)*3</f>
        <v>38.85</v>
      </c>
      <c r="G970" s="11">
        <v>6207000</v>
      </c>
      <c r="H970" s="45">
        <v>0.8</v>
      </c>
      <c r="I970" s="31">
        <v>1.1479999999999999</v>
      </c>
      <c r="J970" s="223">
        <f t="shared" si="138"/>
        <v>221465000</v>
      </c>
      <c r="K970" s="32">
        <f t="shared" si="139"/>
        <v>221465000</v>
      </c>
      <c r="L970" s="261">
        <f t="shared" si="137"/>
        <v>0</v>
      </c>
      <c r="M970" s="14"/>
    </row>
    <row r="971" spans="1:256" ht="61.5" customHeight="1" x14ac:dyDescent="0.3">
      <c r="A971" s="69"/>
      <c r="B971" s="8"/>
      <c r="C971" s="82" t="s">
        <v>953</v>
      </c>
      <c r="D971" s="269" t="s">
        <v>88</v>
      </c>
      <c r="E971" s="8" t="s">
        <v>25</v>
      </c>
      <c r="F971" s="72">
        <f>(0.53*0.53*2.2)*2</f>
        <v>1.2359600000000002</v>
      </c>
      <c r="G971" s="11">
        <v>2828000</v>
      </c>
      <c r="H971" s="45">
        <v>0.8</v>
      </c>
      <c r="I971" s="31">
        <v>1.1479999999999999</v>
      </c>
      <c r="J971" s="223">
        <f t="shared" si="138"/>
        <v>3210000</v>
      </c>
      <c r="K971" s="32">
        <f t="shared" si="139"/>
        <v>3210000</v>
      </c>
      <c r="L971" s="261">
        <f t="shared" si="137"/>
        <v>0</v>
      </c>
      <c r="M971" s="14"/>
    </row>
    <row r="972" spans="1:256" ht="61.5" customHeight="1" x14ac:dyDescent="0.3">
      <c r="A972" s="69"/>
      <c r="B972" s="8"/>
      <c r="C972" s="82" t="s">
        <v>954</v>
      </c>
      <c r="D972" s="269" t="s">
        <v>88</v>
      </c>
      <c r="E972" s="27" t="s">
        <v>25</v>
      </c>
      <c r="F972" s="72">
        <f>(0.25*0.25*1.3)*3</f>
        <v>0.24375000000000002</v>
      </c>
      <c r="G972" s="29">
        <v>2828000</v>
      </c>
      <c r="H972" s="45">
        <v>0.8</v>
      </c>
      <c r="I972" s="31">
        <v>1.1479999999999999</v>
      </c>
      <c r="J972" s="223">
        <f t="shared" si="138"/>
        <v>633000</v>
      </c>
      <c r="K972" s="32">
        <f t="shared" si="139"/>
        <v>633000</v>
      </c>
      <c r="L972" s="261">
        <f t="shared" si="137"/>
        <v>0</v>
      </c>
      <c r="M972" s="14"/>
    </row>
    <row r="973" spans="1:256" ht="61.5" customHeight="1" x14ac:dyDescent="0.3">
      <c r="A973" s="69"/>
      <c r="B973" s="8"/>
      <c r="C973" s="82" t="s">
        <v>955</v>
      </c>
      <c r="D973" s="270" t="s">
        <v>29</v>
      </c>
      <c r="E973" s="27" t="s">
        <v>23</v>
      </c>
      <c r="F973" s="72">
        <f>0.35*4.7+1.9*0.6+(8*1.3)*2</f>
        <v>23.585000000000001</v>
      </c>
      <c r="G973" s="29">
        <v>792000</v>
      </c>
      <c r="H973" s="45">
        <v>0.8</v>
      </c>
      <c r="I973" s="31">
        <v>1.1479999999999999</v>
      </c>
      <c r="J973" s="223">
        <f t="shared" si="138"/>
        <v>17155000</v>
      </c>
      <c r="K973" s="32">
        <f t="shared" si="139"/>
        <v>17155000</v>
      </c>
      <c r="L973" s="261">
        <f t="shared" si="137"/>
        <v>0</v>
      </c>
      <c r="M973" s="14"/>
    </row>
    <row r="974" spans="1:256" ht="61.5" customHeight="1" x14ac:dyDescent="0.3">
      <c r="A974" s="69"/>
      <c r="B974" s="8"/>
      <c r="C974" s="82" t="s">
        <v>956</v>
      </c>
      <c r="D974" s="270" t="s">
        <v>826</v>
      </c>
      <c r="E974" s="27" t="s">
        <v>23</v>
      </c>
      <c r="F974" s="75">
        <f>1.8*6.2</f>
        <v>11.16</v>
      </c>
      <c r="G974" s="29">
        <v>566000</v>
      </c>
      <c r="H974" s="45">
        <v>0.8</v>
      </c>
      <c r="I974" s="31">
        <v>1.1479999999999999</v>
      </c>
      <c r="J974" s="223">
        <f t="shared" si="138"/>
        <v>5801000</v>
      </c>
      <c r="K974" s="32">
        <f t="shared" si="139"/>
        <v>5801000</v>
      </c>
      <c r="L974" s="261">
        <f t="shared" si="137"/>
        <v>0</v>
      </c>
      <c r="M974" s="14"/>
    </row>
    <row r="975" spans="1:256" ht="61.5" customHeight="1" x14ac:dyDescent="0.3">
      <c r="A975" s="69"/>
      <c r="B975" s="8"/>
      <c r="C975" s="82" t="s">
        <v>957</v>
      </c>
      <c r="D975" s="267" t="s">
        <v>89</v>
      </c>
      <c r="E975" s="71" t="s">
        <v>23</v>
      </c>
      <c r="F975" s="72">
        <f>6.2*1.2+1.2*7.4</f>
        <v>16.32</v>
      </c>
      <c r="G975" s="29">
        <v>11000</v>
      </c>
      <c r="H975" s="45">
        <v>0.8</v>
      </c>
      <c r="I975" s="31">
        <v>1.1479999999999999</v>
      </c>
      <c r="J975" s="223">
        <f t="shared" si="138"/>
        <v>165000</v>
      </c>
      <c r="K975" s="32">
        <f t="shared" si="139"/>
        <v>165000</v>
      </c>
      <c r="L975" s="261">
        <f t="shared" si="137"/>
        <v>0</v>
      </c>
      <c r="M975" s="14"/>
    </row>
    <row r="976" spans="1:256" ht="61.5" customHeight="1" x14ac:dyDescent="0.3">
      <c r="A976" s="69"/>
      <c r="B976" s="8"/>
      <c r="C976" s="82" t="s">
        <v>958</v>
      </c>
      <c r="D976" s="271" t="s">
        <v>32</v>
      </c>
      <c r="E976" s="27" t="s">
        <v>23</v>
      </c>
      <c r="F976" s="72">
        <f>5.5*11</f>
        <v>60.5</v>
      </c>
      <c r="G976" s="29">
        <v>215000</v>
      </c>
      <c r="H976" s="45">
        <v>0.8</v>
      </c>
      <c r="I976" s="31">
        <v>1.1479999999999999</v>
      </c>
      <c r="J976" s="223">
        <f t="shared" si="138"/>
        <v>11946000</v>
      </c>
      <c r="K976" s="32">
        <f t="shared" si="139"/>
        <v>11946000</v>
      </c>
      <c r="L976" s="261">
        <f t="shared" si="137"/>
        <v>0</v>
      </c>
      <c r="M976" s="14"/>
    </row>
    <row r="977" spans="1:13" ht="61.5" customHeight="1" x14ac:dyDescent="0.3">
      <c r="A977" s="69"/>
      <c r="B977" s="8"/>
      <c r="C977" s="82" t="s">
        <v>959</v>
      </c>
      <c r="D977" s="270" t="s">
        <v>52</v>
      </c>
      <c r="E977" s="27" t="s">
        <v>23</v>
      </c>
      <c r="F977" s="89">
        <f>2.4*7.4</f>
        <v>17.760000000000002</v>
      </c>
      <c r="G977" s="11" t="s">
        <v>53</v>
      </c>
      <c r="H977" s="45">
        <v>0.8</v>
      </c>
      <c r="I977" s="78">
        <v>1.1479999999999999</v>
      </c>
      <c r="J977" s="223">
        <f t="shared" si="138"/>
        <v>3849000</v>
      </c>
      <c r="K977" s="32">
        <f t="shared" si="139"/>
        <v>3849000</v>
      </c>
      <c r="L977" s="261">
        <f t="shared" si="137"/>
        <v>0</v>
      </c>
      <c r="M977" s="14"/>
    </row>
    <row r="978" spans="1:13" ht="61.5" customHeight="1" x14ac:dyDescent="0.3">
      <c r="A978" s="69"/>
      <c r="B978" s="8"/>
      <c r="C978" s="82" t="s">
        <v>960</v>
      </c>
      <c r="D978" s="270" t="s">
        <v>29</v>
      </c>
      <c r="E978" s="27" t="s">
        <v>23</v>
      </c>
      <c r="F978" s="89">
        <f>(4*0.16)*2+(4.4*0.25)*2+(3.6*0.4)*2</f>
        <v>6.3600000000000012</v>
      </c>
      <c r="G978" s="29">
        <v>792000</v>
      </c>
      <c r="H978" s="45">
        <v>0.8</v>
      </c>
      <c r="I978" s="31">
        <v>1.1479999999999999</v>
      </c>
      <c r="J978" s="223">
        <f t="shared" si="138"/>
        <v>4626000</v>
      </c>
      <c r="K978" s="32">
        <f t="shared" si="139"/>
        <v>4626000</v>
      </c>
      <c r="L978" s="261">
        <f t="shared" si="137"/>
        <v>0</v>
      </c>
      <c r="M978" s="14"/>
    </row>
    <row r="979" spans="1:13" ht="61.5" customHeight="1" x14ac:dyDescent="0.3">
      <c r="A979" s="69"/>
      <c r="B979" s="8"/>
      <c r="C979" s="82" t="s">
        <v>961</v>
      </c>
      <c r="D979" s="192" t="s">
        <v>58</v>
      </c>
      <c r="E979" s="27" t="s">
        <v>35</v>
      </c>
      <c r="F979" s="98">
        <v>1</v>
      </c>
      <c r="G979" s="29">
        <v>1065100</v>
      </c>
      <c r="H979" s="50">
        <v>1</v>
      </c>
      <c r="I979" s="51">
        <v>1</v>
      </c>
      <c r="J979" s="223">
        <f t="shared" si="138"/>
        <v>1065000</v>
      </c>
      <c r="K979" s="32">
        <f t="shared" si="139"/>
        <v>1065000</v>
      </c>
      <c r="L979" s="261">
        <f t="shared" si="137"/>
        <v>0</v>
      </c>
      <c r="M979" s="14"/>
    </row>
    <row r="980" spans="1:13" ht="61.5" customHeight="1" x14ac:dyDescent="0.3">
      <c r="A980" s="69"/>
      <c r="B980" s="8"/>
      <c r="C980" s="82" t="s">
        <v>962</v>
      </c>
      <c r="D980" s="192" t="s">
        <v>58</v>
      </c>
      <c r="E980" s="27" t="s">
        <v>35</v>
      </c>
      <c r="F980" s="98">
        <v>3</v>
      </c>
      <c r="G980" s="29">
        <v>1065100</v>
      </c>
      <c r="H980" s="50">
        <v>1</v>
      </c>
      <c r="I980" s="51">
        <v>1</v>
      </c>
      <c r="J980" s="223">
        <f t="shared" si="138"/>
        <v>3195000</v>
      </c>
      <c r="K980" s="32">
        <f t="shared" si="139"/>
        <v>3195000</v>
      </c>
      <c r="L980" s="261">
        <f t="shared" si="137"/>
        <v>0</v>
      </c>
      <c r="M980" s="14"/>
    </row>
    <row r="981" spans="1:13" ht="61.5" customHeight="1" x14ac:dyDescent="0.3">
      <c r="A981" s="69"/>
      <c r="B981" s="8"/>
      <c r="C981" s="82" t="s">
        <v>963</v>
      </c>
      <c r="D981" s="270" t="s">
        <v>51</v>
      </c>
      <c r="E981" s="27" t="s">
        <v>23</v>
      </c>
      <c r="F981" s="72">
        <f>9.8*4.35</f>
        <v>42.63</v>
      </c>
      <c r="G981" s="29">
        <v>453000</v>
      </c>
      <c r="H981" s="45">
        <v>0.8</v>
      </c>
      <c r="I981" s="31">
        <v>1.1479999999999999</v>
      </c>
      <c r="J981" s="223">
        <f t="shared" si="138"/>
        <v>17736000</v>
      </c>
      <c r="K981" s="32">
        <f t="shared" si="139"/>
        <v>17736000</v>
      </c>
      <c r="L981" s="261">
        <f t="shared" si="137"/>
        <v>0</v>
      </c>
      <c r="M981" s="14"/>
    </row>
    <row r="982" spans="1:13" ht="61.5" customHeight="1" x14ac:dyDescent="0.3">
      <c r="A982" s="69"/>
      <c r="B982" s="8"/>
      <c r="C982" s="82" t="s">
        <v>964</v>
      </c>
      <c r="D982" s="270" t="s">
        <v>55</v>
      </c>
      <c r="E982" s="27" t="s">
        <v>23</v>
      </c>
      <c r="F982" s="89">
        <f>4.3*1.2</f>
        <v>5.1599999999999993</v>
      </c>
      <c r="G982" s="29">
        <v>905000</v>
      </c>
      <c r="H982" s="45">
        <v>0.8</v>
      </c>
      <c r="I982" s="79">
        <v>1.1479999999999999</v>
      </c>
      <c r="J982" s="223">
        <f t="shared" si="138"/>
        <v>4289000</v>
      </c>
      <c r="K982" s="32">
        <f t="shared" si="139"/>
        <v>4289000</v>
      </c>
      <c r="L982" s="261">
        <f t="shared" si="137"/>
        <v>0</v>
      </c>
      <c r="M982" s="14"/>
    </row>
    <row r="983" spans="1:13" ht="61.5" customHeight="1" x14ac:dyDescent="0.3">
      <c r="A983" s="69"/>
      <c r="B983" s="8"/>
      <c r="C983" s="82" t="s">
        <v>965</v>
      </c>
      <c r="D983" s="271" t="s">
        <v>32</v>
      </c>
      <c r="E983" s="27" t="s">
        <v>23</v>
      </c>
      <c r="F983" s="72">
        <f>10.5*7</f>
        <v>73.5</v>
      </c>
      <c r="G983" s="29">
        <v>215000</v>
      </c>
      <c r="H983" s="45">
        <v>0.8</v>
      </c>
      <c r="I983" s="31">
        <v>1.1479999999999999</v>
      </c>
      <c r="J983" s="223">
        <f t="shared" si="138"/>
        <v>14513000</v>
      </c>
      <c r="K983" s="32">
        <f t="shared" si="139"/>
        <v>14513000</v>
      </c>
      <c r="L983" s="261">
        <f t="shared" si="137"/>
        <v>0</v>
      </c>
      <c r="M983" s="14"/>
    </row>
    <row r="984" spans="1:13" ht="61.5" customHeight="1" x14ac:dyDescent="0.3">
      <c r="A984" s="69"/>
      <c r="B984" s="8"/>
      <c r="C984" s="82" t="s">
        <v>966</v>
      </c>
      <c r="D984" s="276" t="s">
        <v>41</v>
      </c>
      <c r="E984" s="59" t="s">
        <v>42</v>
      </c>
      <c r="F984" s="98">
        <v>20</v>
      </c>
      <c r="G984" s="29">
        <v>5330</v>
      </c>
      <c r="H984" s="60">
        <v>1</v>
      </c>
      <c r="I984" s="61">
        <v>1</v>
      </c>
      <c r="J984" s="223">
        <f t="shared" si="138"/>
        <v>107000</v>
      </c>
      <c r="K984" s="32">
        <f t="shared" si="139"/>
        <v>107000</v>
      </c>
      <c r="L984" s="261">
        <f t="shared" si="137"/>
        <v>0</v>
      </c>
      <c r="M984" s="14"/>
    </row>
    <row r="985" spans="1:13" ht="61.5" customHeight="1" x14ac:dyDescent="0.3">
      <c r="A985" s="69"/>
      <c r="B985" s="8"/>
      <c r="C985" s="82" t="s">
        <v>967</v>
      </c>
      <c r="D985" s="276" t="s">
        <v>41</v>
      </c>
      <c r="E985" s="59" t="s">
        <v>42</v>
      </c>
      <c r="F985" s="98">
        <v>2</v>
      </c>
      <c r="G985" s="11">
        <v>31950</v>
      </c>
      <c r="H985" s="60">
        <v>1</v>
      </c>
      <c r="I985" s="61">
        <v>1</v>
      </c>
      <c r="J985" s="223">
        <f t="shared" si="138"/>
        <v>64000</v>
      </c>
      <c r="K985" s="32">
        <f t="shared" si="139"/>
        <v>64000</v>
      </c>
      <c r="L985" s="261">
        <f t="shared" si="137"/>
        <v>0</v>
      </c>
      <c r="M985" s="14"/>
    </row>
    <row r="986" spans="1:13" ht="61.5" customHeight="1" x14ac:dyDescent="0.3">
      <c r="A986" s="69"/>
      <c r="B986" s="8"/>
      <c r="C986" s="82" t="s">
        <v>968</v>
      </c>
      <c r="D986" s="267" t="s">
        <v>36</v>
      </c>
      <c r="E986" s="27" t="s">
        <v>35</v>
      </c>
      <c r="F986" s="98">
        <v>6</v>
      </c>
      <c r="G986" s="49">
        <v>213020</v>
      </c>
      <c r="H986" s="52">
        <v>1</v>
      </c>
      <c r="I986" s="53">
        <v>1</v>
      </c>
      <c r="J986" s="223">
        <f t="shared" si="138"/>
        <v>1278000</v>
      </c>
      <c r="K986" s="32">
        <f t="shared" si="139"/>
        <v>1278000</v>
      </c>
      <c r="L986" s="261">
        <f t="shared" si="137"/>
        <v>0</v>
      </c>
      <c r="M986" s="14"/>
    </row>
    <row r="987" spans="1:13" ht="61.5" customHeight="1" x14ac:dyDescent="0.3">
      <c r="A987" s="69"/>
      <c r="B987" s="8"/>
      <c r="C987" s="82" t="s">
        <v>969</v>
      </c>
      <c r="D987" s="270" t="s">
        <v>207</v>
      </c>
      <c r="E987" s="27" t="s">
        <v>23</v>
      </c>
      <c r="F987" s="72">
        <f>3.75*2.4</f>
        <v>9</v>
      </c>
      <c r="G987" s="29">
        <v>566000</v>
      </c>
      <c r="H987" s="45">
        <v>0.8</v>
      </c>
      <c r="I987" s="31">
        <v>1.1479999999999999</v>
      </c>
      <c r="J987" s="223">
        <f t="shared" si="138"/>
        <v>4678000</v>
      </c>
      <c r="K987" s="32">
        <f t="shared" si="139"/>
        <v>4678000</v>
      </c>
      <c r="L987" s="261">
        <f t="shared" si="137"/>
        <v>0</v>
      </c>
      <c r="M987" s="14"/>
    </row>
    <row r="988" spans="1:13" ht="61.5" customHeight="1" x14ac:dyDescent="0.3">
      <c r="A988" s="69"/>
      <c r="B988" s="8"/>
      <c r="C988" s="82" t="s">
        <v>970</v>
      </c>
      <c r="D988" s="272" t="s">
        <v>33</v>
      </c>
      <c r="E988" s="27" t="s">
        <v>23</v>
      </c>
      <c r="F988" s="72">
        <f>4.3*0.9</f>
        <v>3.87</v>
      </c>
      <c r="G988" s="29">
        <v>453000</v>
      </c>
      <c r="H988" s="45">
        <v>0.8</v>
      </c>
      <c r="I988" s="31">
        <v>1.1479999999999999</v>
      </c>
      <c r="J988" s="223">
        <f t="shared" si="138"/>
        <v>1610000</v>
      </c>
      <c r="K988" s="32">
        <f t="shared" si="139"/>
        <v>1610000</v>
      </c>
      <c r="L988" s="261">
        <f t="shared" si="137"/>
        <v>0</v>
      </c>
      <c r="M988" s="14"/>
    </row>
    <row r="989" spans="1:13" ht="61.5" customHeight="1" x14ac:dyDescent="0.3">
      <c r="A989" s="69"/>
      <c r="B989" s="8"/>
      <c r="C989" s="82" t="s">
        <v>971</v>
      </c>
      <c r="D989" s="276" t="s">
        <v>41</v>
      </c>
      <c r="E989" s="59" t="s">
        <v>42</v>
      </c>
      <c r="F989" s="98">
        <v>1</v>
      </c>
      <c r="G989" s="11">
        <v>53260</v>
      </c>
      <c r="H989" s="60">
        <v>1</v>
      </c>
      <c r="I989" s="61">
        <v>1</v>
      </c>
      <c r="J989" s="223">
        <f t="shared" si="138"/>
        <v>53000</v>
      </c>
      <c r="K989" s="32">
        <f t="shared" si="139"/>
        <v>53000</v>
      </c>
      <c r="L989" s="261">
        <f t="shared" si="137"/>
        <v>0</v>
      </c>
      <c r="M989" s="14"/>
    </row>
    <row r="990" spans="1:13" ht="61.5" customHeight="1" x14ac:dyDescent="0.3">
      <c r="A990" s="69"/>
      <c r="B990" s="8"/>
      <c r="C990" s="82" t="s">
        <v>972</v>
      </c>
      <c r="D990" s="271" t="s">
        <v>44</v>
      </c>
      <c r="E990" s="63" t="s">
        <v>45</v>
      </c>
      <c r="F990" s="72">
        <v>11</v>
      </c>
      <c r="G990" s="46">
        <v>28000</v>
      </c>
      <c r="H990" s="45">
        <v>0.8</v>
      </c>
      <c r="I990" s="31">
        <v>1.1479999999999999</v>
      </c>
      <c r="J990" s="223">
        <f t="shared" si="138"/>
        <v>283000</v>
      </c>
      <c r="K990" s="32">
        <f t="shared" si="139"/>
        <v>283000</v>
      </c>
      <c r="L990" s="261">
        <f t="shared" si="137"/>
        <v>0</v>
      </c>
      <c r="M990" s="14"/>
    </row>
    <row r="991" spans="1:13" ht="61.5" customHeight="1" x14ac:dyDescent="0.3">
      <c r="A991" s="69"/>
      <c r="B991" s="8"/>
      <c r="C991" s="82" t="s">
        <v>973</v>
      </c>
      <c r="D991" s="271" t="s">
        <v>47</v>
      </c>
      <c r="E991" s="63" t="s">
        <v>45</v>
      </c>
      <c r="F991" s="72">
        <v>11</v>
      </c>
      <c r="G991" s="46">
        <v>28000</v>
      </c>
      <c r="H991" s="45">
        <v>0.8</v>
      </c>
      <c r="I991" s="31">
        <v>1.1479999999999999</v>
      </c>
      <c r="J991" s="223">
        <f t="shared" si="138"/>
        <v>283000</v>
      </c>
      <c r="K991" s="32">
        <f t="shared" si="139"/>
        <v>283000</v>
      </c>
      <c r="L991" s="261">
        <f t="shared" si="137"/>
        <v>0</v>
      </c>
      <c r="M991" s="14"/>
    </row>
    <row r="992" spans="1:13" ht="61.5" customHeight="1" x14ac:dyDescent="0.3">
      <c r="A992" s="69"/>
      <c r="B992" s="8"/>
      <c r="C992" s="82" t="s">
        <v>96</v>
      </c>
      <c r="D992" s="270" t="s">
        <v>97</v>
      </c>
      <c r="E992" s="71" t="s">
        <v>98</v>
      </c>
      <c r="F992" s="72">
        <v>1</v>
      </c>
      <c r="G992" s="36">
        <v>226000</v>
      </c>
      <c r="H992" s="45">
        <v>0.8</v>
      </c>
      <c r="I992" s="31">
        <v>1.1479999999999999</v>
      </c>
      <c r="J992" s="223">
        <f t="shared" si="138"/>
        <v>208000</v>
      </c>
      <c r="K992" s="32">
        <f t="shared" si="139"/>
        <v>208000</v>
      </c>
      <c r="L992" s="261">
        <f t="shared" si="137"/>
        <v>0</v>
      </c>
      <c r="M992" s="14"/>
    </row>
    <row r="993" spans="1:13" ht="61.5" customHeight="1" x14ac:dyDescent="0.3">
      <c r="A993" s="149">
        <v>56</v>
      </c>
      <c r="B993" s="109" t="s">
        <v>798</v>
      </c>
      <c r="C993" s="455" t="s">
        <v>974</v>
      </c>
      <c r="D993" s="456"/>
      <c r="E993" s="456"/>
      <c r="F993" s="456"/>
      <c r="G993" s="456"/>
      <c r="H993" s="456"/>
      <c r="I993" s="457"/>
      <c r="J993" s="221">
        <f>SUM(J994:J1005)</f>
        <v>386152000</v>
      </c>
      <c r="K993" s="32">
        <f>ROUND(G993*H993*I993*F993,-3)</f>
        <v>0</v>
      </c>
      <c r="L993" s="261">
        <f t="shared" si="137"/>
        <v>386152000</v>
      </c>
      <c r="M993" s="24"/>
    </row>
    <row r="994" spans="1:13" ht="90" customHeight="1" x14ac:dyDescent="0.3">
      <c r="A994" s="67"/>
      <c r="B994" s="68"/>
      <c r="C994" s="20" t="s">
        <v>1119</v>
      </c>
      <c r="D994" s="267"/>
      <c r="E994" s="27" t="s">
        <v>23</v>
      </c>
      <c r="F994" s="35">
        <v>47.9</v>
      </c>
      <c r="G994" s="464" t="s">
        <v>1120</v>
      </c>
      <c r="H994" s="464"/>
      <c r="I994" s="465"/>
      <c r="J994" s="227"/>
      <c r="K994" s="32"/>
      <c r="L994" s="261">
        <f t="shared" si="137"/>
        <v>0</v>
      </c>
      <c r="M994" s="14"/>
    </row>
    <row r="995" spans="1:13" ht="105" customHeight="1" x14ac:dyDescent="0.3">
      <c r="A995" s="69"/>
      <c r="B995" s="8"/>
      <c r="C995" s="82" t="s">
        <v>1121</v>
      </c>
      <c r="D995" s="274" t="s">
        <v>87</v>
      </c>
      <c r="E995" s="27" t="s">
        <v>23</v>
      </c>
      <c r="F995" s="72">
        <f>5.1*5.2*2</f>
        <v>53.04</v>
      </c>
      <c r="G995" s="11">
        <v>5339000</v>
      </c>
      <c r="H995" s="45">
        <v>1</v>
      </c>
      <c r="I995" s="31">
        <v>1.1479999999999999</v>
      </c>
      <c r="J995" s="223">
        <f t="shared" ref="J995:J1005" si="140">ROUND(F995*G995*H995*I995,-3)</f>
        <v>325091000</v>
      </c>
      <c r="K995" s="32">
        <f t="shared" ref="K995:K1006" si="141">ROUND(G995*H995*I995*F995,-3)</f>
        <v>325091000</v>
      </c>
      <c r="L995" s="261">
        <f t="shared" si="137"/>
        <v>0</v>
      </c>
      <c r="M995" s="14"/>
    </row>
    <row r="996" spans="1:13" ht="99" customHeight="1" x14ac:dyDescent="0.3">
      <c r="A996" s="69"/>
      <c r="B996" s="8"/>
      <c r="C996" s="82" t="s">
        <v>975</v>
      </c>
      <c r="D996" s="270" t="s">
        <v>51</v>
      </c>
      <c r="E996" s="27" t="s">
        <v>23</v>
      </c>
      <c r="F996" s="72">
        <f>5.1*6.2</f>
        <v>31.619999999999997</v>
      </c>
      <c r="G996" s="29">
        <v>453000</v>
      </c>
      <c r="H996" s="45">
        <v>1</v>
      </c>
      <c r="I996" s="31">
        <v>1.1479999999999999</v>
      </c>
      <c r="J996" s="223">
        <f t="shared" si="140"/>
        <v>16444000</v>
      </c>
      <c r="K996" s="32">
        <f t="shared" si="141"/>
        <v>16444000</v>
      </c>
      <c r="L996" s="261">
        <f t="shared" si="137"/>
        <v>0</v>
      </c>
      <c r="M996" s="14"/>
    </row>
    <row r="997" spans="1:13" ht="61.5" customHeight="1" x14ac:dyDescent="0.3">
      <c r="A997" s="69"/>
      <c r="B997" s="8"/>
      <c r="C997" s="82" t="s">
        <v>976</v>
      </c>
      <c r="D997" s="267" t="s">
        <v>207</v>
      </c>
      <c r="E997" s="71" t="s">
        <v>23</v>
      </c>
      <c r="F997" s="72">
        <f>4.6*2.5</f>
        <v>11.5</v>
      </c>
      <c r="G997" s="29">
        <v>566000</v>
      </c>
      <c r="H997" s="45">
        <v>1</v>
      </c>
      <c r="I997" s="31">
        <v>1.1479999999999999</v>
      </c>
      <c r="J997" s="223">
        <f t="shared" si="140"/>
        <v>7472000</v>
      </c>
      <c r="K997" s="32">
        <f t="shared" si="141"/>
        <v>7472000</v>
      </c>
      <c r="L997" s="261">
        <f t="shared" si="137"/>
        <v>0</v>
      </c>
      <c r="M997" s="14"/>
    </row>
    <row r="998" spans="1:13" ht="61.5" customHeight="1" x14ac:dyDescent="0.3">
      <c r="A998" s="69"/>
      <c r="B998" s="8"/>
      <c r="C998" s="82" t="s">
        <v>977</v>
      </c>
      <c r="D998" s="271" t="s">
        <v>32</v>
      </c>
      <c r="E998" s="27" t="s">
        <v>23</v>
      </c>
      <c r="F998" s="72">
        <f>5*5.3</f>
        <v>26.5</v>
      </c>
      <c r="G998" s="29">
        <v>215000</v>
      </c>
      <c r="H998" s="45">
        <v>1</v>
      </c>
      <c r="I998" s="31">
        <v>1.1479999999999999</v>
      </c>
      <c r="J998" s="223">
        <f t="shared" si="140"/>
        <v>6541000</v>
      </c>
      <c r="K998" s="32">
        <f t="shared" si="141"/>
        <v>6541000</v>
      </c>
      <c r="L998" s="261">
        <f t="shared" si="137"/>
        <v>0</v>
      </c>
      <c r="M998" s="14"/>
    </row>
    <row r="999" spans="1:13" ht="93" customHeight="1" x14ac:dyDescent="0.3">
      <c r="A999" s="69"/>
      <c r="B999" s="8"/>
      <c r="C999" s="82" t="s">
        <v>978</v>
      </c>
      <c r="D999" s="271" t="s">
        <v>32</v>
      </c>
      <c r="E999" s="27" t="s">
        <v>23</v>
      </c>
      <c r="F999" s="72">
        <f>3.9*5.1</f>
        <v>19.889999999999997</v>
      </c>
      <c r="G999" s="29">
        <v>215000</v>
      </c>
      <c r="H999" s="45">
        <v>1</v>
      </c>
      <c r="I999" s="31">
        <v>1.1479999999999999</v>
      </c>
      <c r="J999" s="223">
        <f t="shared" si="140"/>
        <v>4909000</v>
      </c>
      <c r="K999" s="32">
        <f t="shared" si="141"/>
        <v>4909000</v>
      </c>
      <c r="L999" s="261">
        <f t="shared" si="137"/>
        <v>0</v>
      </c>
      <c r="M999" s="14"/>
    </row>
    <row r="1000" spans="1:13" ht="61.5" customHeight="1" x14ac:dyDescent="0.3">
      <c r="A1000" s="69"/>
      <c r="B1000" s="8"/>
      <c r="C1000" s="82" t="s">
        <v>979</v>
      </c>
      <c r="D1000" s="270" t="s">
        <v>29</v>
      </c>
      <c r="E1000" s="27" t="s">
        <v>23</v>
      </c>
      <c r="F1000" s="75">
        <f>6.9*2</f>
        <v>13.8</v>
      </c>
      <c r="G1000" s="29">
        <v>792000</v>
      </c>
      <c r="H1000" s="45">
        <v>1</v>
      </c>
      <c r="I1000" s="31">
        <v>1.1479999999999999</v>
      </c>
      <c r="J1000" s="223">
        <f t="shared" si="140"/>
        <v>12547000</v>
      </c>
      <c r="K1000" s="32">
        <f t="shared" si="141"/>
        <v>12547000</v>
      </c>
      <c r="L1000" s="261">
        <f t="shared" si="137"/>
        <v>0</v>
      </c>
      <c r="M1000" s="14"/>
    </row>
    <row r="1001" spans="1:13" ht="61.5" customHeight="1" x14ac:dyDescent="0.3">
      <c r="A1001" s="69"/>
      <c r="B1001" s="8"/>
      <c r="C1001" s="82" t="s">
        <v>980</v>
      </c>
      <c r="D1001" s="267" t="s">
        <v>89</v>
      </c>
      <c r="E1001" s="71" t="s">
        <v>23</v>
      </c>
      <c r="F1001" s="72">
        <f>6.9*1.5</f>
        <v>10.350000000000001</v>
      </c>
      <c r="G1001" s="29">
        <v>11000</v>
      </c>
      <c r="H1001" s="45">
        <v>1</v>
      </c>
      <c r="I1001" s="31">
        <v>1.1479999999999999</v>
      </c>
      <c r="J1001" s="223">
        <f t="shared" si="140"/>
        <v>131000</v>
      </c>
      <c r="K1001" s="32">
        <f t="shared" si="141"/>
        <v>131000</v>
      </c>
      <c r="L1001" s="261">
        <f t="shared" si="137"/>
        <v>0</v>
      </c>
      <c r="M1001" s="14"/>
    </row>
    <row r="1002" spans="1:13" ht="61.5" customHeight="1" x14ac:dyDescent="0.3">
      <c r="A1002" s="69"/>
      <c r="B1002" s="8"/>
      <c r="C1002" s="82" t="s">
        <v>981</v>
      </c>
      <c r="D1002" s="271" t="s">
        <v>54</v>
      </c>
      <c r="E1002" s="27" t="s">
        <v>23</v>
      </c>
      <c r="F1002" s="72">
        <f>3.3*4.1+0.8*4.1</f>
        <v>16.809999999999999</v>
      </c>
      <c r="G1002" s="46">
        <v>28000</v>
      </c>
      <c r="H1002" s="45">
        <v>1</v>
      </c>
      <c r="I1002" s="31">
        <v>1.1479999999999999</v>
      </c>
      <c r="J1002" s="223">
        <f t="shared" si="140"/>
        <v>540000</v>
      </c>
      <c r="K1002" s="32">
        <f t="shared" si="141"/>
        <v>540000</v>
      </c>
      <c r="L1002" s="261">
        <f t="shared" ref="L1002:L1017" si="142">J1002-K1002</f>
        <v>0</v>
      </c>
      <c r="M1002" s="14"/>
    </row>
    <row r="1003" spans="1:13" ht="61.5" customHeight="1" x14ac:dyDescent="0.3">
      <c r="A1003" s="69"/>
      <c r="B1003" s="8"/>
      <c r="C1003" s="82" t="s">
        <v>982</v>
      </c>
      <c r="D1003" s="270" t="s">
        <v>52</v>
      </c>
      <c r="E1003" s="27" t="s">
        <v>23</v>
      </c>
      <c r="F1003" s="89">
        <f>4.8*0.8</f>
        <v>3.84</v>
      </c>
      <c r="G1003" s="11" t="s">
        <v>53</v>
      </c>
      <c r="H1003" s="45">
        <v>1</v>
      </c>
      <c r="I1003" s="31">
        <v>1.1479999999999999</v>
      </c>
      <c r="J1003" s="223">
        <f t="shared" si="140"/>
        <v>1040000</v>
      </c>
      <c r="K1003" s="32">
        <f t="shared" si="141"/>
        <v>1040000</v>
      </c>
      <c r="L1003" s="261">
        <f t="shared" si="142"/>
        <v>0</v>
      </c>
      <c r="M1003" s="14"/>
    </row>
    <row r="1004" spans="1:13" ht="61.5" customHeight="1" x14ac:dyDescent="0.3">
      <c r="A1004" s="69"/>
      <c r="B1004" s="8"/>
      <c r="C1004" s="82" t="s">
        <v>983</v>
      </c>
      <c r="D1004" s="275" t="s">
        <v>54</v>
      </c>
      <c r="E1004" s="22" t="s">
        <v>23</v>
      </c>
      <c r="F1004" s="89">
        <f>(12.5*1)*2</f>
        <v>25</v>
      </c>
      <c r="G1004" s="100">
        <v>213000</v>
      </c>
      <c r="H1004" s="45">
        <v>1</v>
      </c>
      <c r="I1004" s="102">
        <v>1.1479999999999999</v>
      </c>
      <c r="J1004" s="222">
        <f t="shared" si="140"/>
        <v>6113000</v>
      </c>
      <c r="K1004" s="32">
        <f t="shared" si="141"/>
        <v>6113000</v>
      </c>
      <c r="L1004" s="261">
        <f t="shared" si="142"/>
        <v>0</v>
      </c>
      <c r="M1004" s="14"/>
    </row>
    <row r="1005" spans="1:13" ht="61.5" customHeight="1" x14ac:dyDescent="0.3">
      <c r="A1005" s="69"/>
      <c r="B1005" s="8"/>
      <c r="C1005" s="82" t="s">
        <v>984</v>
      </c>
      <c r="D1005" s="270" t="s">
        <v>66</v>
      </c>
      <c r="E1005" s="27" t="s">
        <v>23</v>
      </c>
      <c r="F1005" s="72">
        <f>4.8*1.1+(1.2*3.5)*2</f>
        <v>13.68</v>
      </c>
      <c r="G1005" s="29">
        <v>339000</v>
      </c>
      <c r="H1005" s="45">
        <v>1</v>
      </c>
      <c r="I1005" s="79">
        <v>1.1479999999999999</v>
      </c>
      <c r="J1005" s="223">
        <f t="shared" si="140"/>
        <v>5324000</v>
      </c>
      <c r="K1005" s="32">
        <f t="shared" si="141"/>
        <v>5324000</v>
      </c>
      <c r="L1005" s="261">
        <f t="shared" si="142"/>
        <v>0</v>
      </c>
      <c r="M1005" s="14"/>
    </row>
    <row r="1006" spans="1:13" s="289" customFormat="1" ht="61.5" customHeight="1" x14ac:dyDescent="0.3">
      <c r="A1006" s="149">
        <v>57</v>
      </c>
      <c r="B1006" s="150" t="s">
        <v>242</v>
      </c>
      <c r="C1006" s="455" t="s">
        <v>243</v>
      </c>
      <c r="D1006" s="456"/>
      <c r="E1006" s="456"/>
      <c r="F1006" s="456"/>
      <c r="G1006" s="456"/>
      <c r="H1006" s="456"/>
      <c r="I1006" s="457"/>
      <c r="J1006" s="221">
        <f>SUM(J1007:J1030)</f>
        <v>265610000</v>
      </c>
      <c r="K1006" s="32">
        <f t="shared" si="141"/>
        <v>0</v>
      </c>
      <c r="L1006" s="261">
        <f t="shared" si="142"/>
        <v>265610000</v>
      </c>
      <c r="M1006" s="24"/>
    </row>
    <row r="1007" spans="1:13" s="289" customFormat="1" ht="90" customHeight="1" x14ac:dyDescent="0.3">
      <c r="A1007" s="67"/>
      <c r="B1007" s="68"/>
      <c r="C1007" s="20" t="s">
        <v>244</v>
      </c>
      <c r="D1007" s="26"/>
      <c r="E1007" s="27" t="s">
        <v>23</v>
      </c>
      <c r="F1007" s="35">
        <v>67.2</v>
      </c>
      <c r="G1007" s="464" t="s">
        <v>1157</v>
      </c>
      <c r="H1007" s="464"/>
      <c r="I1007" s="465"/>
      <c r="J1007" s="227"/>
      <c r="K1007" s="32"/>
      <c r="L1007" s="261">
        <f t="shared" si="142"/>
        <v>0</v>
      </c>
      <c r="M1007" s="14"/>
    </row>
    <row r="1008" spans="1:13" s="289" customFormat="1" ht="72" customHeight="1" x14ac:dyDescent="0.3">
      <c r="A1008" s="69"/>
      <c r="B1008" s="8"/>
      <c r="C1008" s="82" t="s">
        <v>245</v>
      </c>
      <c r="D1008" s="81" t="s">
        <v>87</v>
      </c>
      <c r="E1008" s="27" t="s">
        <v>23</v>
      </c>
      <c r="F1008" s="75">
        <f>6.6*3.3</f>
        <v>21.779999999999998</v>
      </c>
      <c r="G1008" s="11">
        <v>5339000</v>
      </c>
      <c r="H1008" s="101">
        <v>0.8</v>
      </c>
      <c r="I1008" s="102">
        <v>1.1479999999999999</v>
      </c>
      <c r="J1008" s="223">
        <f t="shared" ref="J1008:J1030" si="143">ROUND(F1008*G1008*H1008*I1008,-3)</f>
        <v>106795000</v>
      </c>
      <c r="K1008" s="32">
        <f t="shared" ref="K1008:K1030" si="144">ROUND(G1008*H1008*I1008*F1008,-3)</f>
        <v>106795000</v>
      </c>
      <c r="L1008" s="261">
        <f t="shared" si="142"/>
        <v>0</v>
      </c>
      <c r="M1008" s="14"/>
    </row>
    <row r="1009" spans="1:13" s="289" customFormat="1" ht="72" customHeight="1" x14ac:dyDescent="0.3">
      <c r="A1009" s="93"/>
      <c r="B1009" s="94"/>
      <c r="C1009" s="70" t="s">
        <v>246</v>
      </c>
      <c r="D1009" s="81" t="s">
        <v>87</v>
      </c>
      <c r="E1009" s="22" t="s">
        <v>23</v>
      </c>
      <c r="F1009" s="99">
        <f>1.3*3.3+0.7*3.3</f>
        <v>6.6</v>
      </c>
      <c r="G1009" s="11">
        <v>5339000</v>
      </c>
      <c r="H1009" s="101">
        <v>0.8</v>
      </c>
      <c r="I1009" s="102">
        <v>1.1479999999999999</v>
      </c>
      <c r="J1009" s="222">
        <f t="shared" si="143"/>
        <v>32362000</v>
      </c>
      <c r="K1009" s="32">
        <f t="shared" si="144"/>
        <v>32362000</v>
      </c>
      <c r="L1009" s="261">
        <f t="shared" si="142"/>
        <v>0</v>
      </c>
      <c r="M1009" s="24"/>
    </row>
    <row r="1010" spans="1:13" s="289" customFormat="1" ht="61.5" customHeight="1" x14ac:dyDescent="0.3">
      <c r="A1010" s="69"/>
      <c r="B1010" s="8"/>
      <c r="C1010" s="82" t="s">
        <v>855</v>
      </c>
      <c r="D1010" s="34" t="s">
        <v>51</v>
      </c>
      <c r="E1010" s="27" t="s">
        <v>23</v>
      </c>
      <c r="F1010" s="72">
        <f>8*6.9</f>
        <v>55.2</v>
      </c>
      <c r="G1010" s="29">
        <v>453000</v>
      </c>
      <c r="H1010" s="37">
        <v>0.8</v>
      </c>
      <c r="I1010" s="31">
        <v>1.1479999999999999</v>
      </c>
      <c r="J1010" s="223">
        <f t="shared" si="143"/>
        <v>22965000</v>
      </c>
      <c r="K1010" s="32">
        <f t="shared" si="144"/>
        <v>22965000</v>
      </c>
      <c r="L1010" s="261">
        <f t="shared" si="142"/>
        <v>0</v>
      </c>
      <c r="M1010" s="14"/>
    </row>
    <row r="1011" spans="1:13" s="289" customFormat="1" ht="61.5" customHeight="1" x14ac:dyDescent="0.3">
      <c r="A1011" s="69"/>
      <c r="B1011" s="8"/>
      <c r="C1011" s="82" t="s">
        <v>247</v>
      </c>
      <c r="D1011" s="34" t="s">
        <v>101</v>
      </c>
      <c r="E1011" s="71" t="s">
        <v>23</v>
      </c>
      <c r="F1011" s="75">
        <f>8*6</f>
        <v>48</v>
      </c>
      <c r="G1011" s="29">
        <v>339000</v>
      </c>
      <c r="H1011" s="37">
        <v>0.8</v>
      </c>
      <c r="I1011" s="31">
        <v>1.1479999999999999</v>
      </c>
      <c r="J1011" s="223">
        <f t="shared" si="143"/>
        <v>14944000</v>
      </c>
      <c r="K1011" s="32">
        <f t="shared" si="144"/>
        <v>14944000</v>
      </c>
      <c r="L1011" s="261">
        <f t="shared" si="142"/>
        <v>0</v>
      </c>
      <c r="M1011" s="14"/>
    </row>
    <row r="1012" spans="1:13" s="289" customFormat="1" ht="61.5" customHeight="1" x14ac:dyDescent="0.3">
      <c r="A1012" s="69"/>
      <c r="B1012" s="8"/>
      <c r="C1012" s="82" t="s">
        <v>248</v>
      </c>
      <c r="D1012" s="34" t="s">
        <v>29</v>
      </c>
      <c r="E1012" s="27" t="s">
        <v>23</v>
      </c>
      <c r="F1012" s="72">
        <f>11*0.5+11*1.1+1.8*1.1+2.2*0.5+5.9*0.5</f>
        <v>23.630000000000003</v>
      </c>
      <c r="G1012" s="29">
        <v>792000</v>
      </c>
      <c r="H1012" s="37">
        <v>0.8</v>
      </c>
      <c r="I1012" s="31">
        <v>1.1479999999999999</v>
      </c>
      <c r="J1012" s="223">
        <f t="shared" si="143"/>
        <v>17188000</v>
      </c>
      <c r="K1012" s="32">
        <f t="shared" si="144"/>
        <v>17188000</v>
      </c>
      <c r="L1012" s="261">
        <f t="shared" si="142"/>
        <v>0</v>
      </c>
      <c r="M1012" s="14"/>
    </row>
    <row r="1013" spans="1:13" s="289" customFormat="1" ht="61.5" customHeight="1" x14ac:dyDescent="0.3">
      <c r="A1013" s="69"/>
      <c r="B1013" s="8"/>
      <c r="C1013" s="82" t="s">
        <v>249</v>
      </c>
      <c r="D1013" s="34" t="s">
        <v>66</v>
      </c>
      <c r="E1013" s="27" t="s">
        <v>23</v>
      </c>
      <c r="F1013" s="72">
        <f>26.2*0.15</f>
        <v>3.9299999999999997</v>
      </c>
      <c r="G1013" s="29">
        <v>339000</v>
      </c>
      <c r="H1013" s="38">
        <v>0.8</v>
      </c>
      <c r="I1013" s="31">
        <v>1.1479999999999999</v>
      </c>
      <c r="J1013" s="223">
        <f t="shared" si="143"/>
        <v>1224000</v>
      </c>
      <c r="K1013" s="32">
        <f t="shared" si="144"/>
        <v>1224000</v>
      </c>
      <c r="L1013" s="261">
        <f t="shared" si="142"/>
        <v>0</v>
      </c>
      <c r="M1013" s="14"/>
    </row>
    <row r="1014" spans="1:13" s="289" customFormat="1" ht="61.5" customHeight="1" x14ac:dyDescent="0.3">
      <c r="A1014" s="69"/>
      <c r="B1014" s="8"/>
      <c r="C1014" s="82" t="s">
        <v>250</v>
      </c>
      <c r="D1014" s="44" t="s">
        <v>33</v>
      </c>
      <c r="E1014" s="27" t="s">
        <v>23</v>
      </c>
      <c r="F1014" s="72">
        <f>18.3*2+3.5*0.9</f>
        <v>39.75</v>
      </c>
      <c r="G1014" s="29">
        <v>453000</v>
      </c>
      <c r="H1014" s="45">
        <v>0.8</v>
      </c>
      <c r="I1014" s="31">
        <v>1.1479999999999999</v>
      </c>
      <c r="J1014" s="223">
        <f t="shared" si="143"/>
        <v>16537000</v>
      </c>
      <c r="K1014" s="32">
        <f t="shared" si="144"/>
        <v>16537000</v>
      </c>
      <c r="L1014" s="261">
        <f t="shared" si="142"/>
        <v>0</v>
      </c>
      <c r="M1014" s="14"/>
    </row>
    <row r="1015" spans="1:13" s="289" customFormat="1" ht="61.5" customHeight="1" x14ac:dyDescent="0.3">
      <c r="A1015" s="69"/>
      <c r="B1015" s="8"/>
      <c r="C1015" s="143" t="s">
        <v>251</v>
      </c>
      <c r="D1015" s="34" t="s">
        <v>28</v>
      </c>
      <c r="E1015" s="27" t="s">
        <v>23</v>
      </c>
      <c r="F1015" s="28">
        <f>3.7*0.25+1.8*0.25</f>
        <v>1.375</v>
      </c>
      <c r="G1015" s="11">
        <v>396000</v>
      </c>
      <c r="H1015" s="38">
        <v>0.8</v>
      </c>
      <c r="I1015" s="31">
        <v>1.1479999999999999</v>
      </c>
      <c r="J1015" s="223">
        <f t="shared" si="143"/>
        <v>500000</v>
      </c>
      <c r="K1015" s="32">
        <f t="shared" si="144"/>
        <v>500000</v>
      </c>
      <c r="L1015" s="261">
        <f t="shared" si="142"/>
        <v>0</v>
      </c>
      <c r="M1015" s="14"/>
    </row>
    <row r="1016" spans="1:13" s="289" customFormat="1" ht="61.5" customHeight="1" x14ac:dyDescent="0.3">
      <c r="A1016" s="104"/>
      <c r="B1016" s="105"/>
      <c r="C1016" s="113" t="s">
        <v>252</v>
      </c>
      <c r="D1016" s="26" t="s">
        <v>24</v>
      </c>
      <c r="E1016" s="27" t="s">
        <v>25</v>
      </c>
      <c r="F1016" s="123">
        <f>(0.45*0.45*2.6)*2</f>
        <v>1.0530000000000002</v>
      </c>
      <c r="G1016" s="29">
        <v>2828000</v>
      </c>
      <c r="H1016" s="30">
        <v>0.8</v>
      </c>
      <c r="I1016" s="31">
        <v>1.1479999999999999</v>
      </c>
      <c r="J1016" s="223">
        <f t="shared" si="143"/>
        <v>2735000</v>
      </c>
      <c r="K1016" s="32">
        <f t="shared" si="144"/>
        <v>2735000</v>
      </c>
      <c r="L1016" s="261">
        <f t="shared" si="142"/>
        <v>0</v>
      </c>
      <c r="M1016" s="14"/>
    </row>
    <row r="1017" spans="1:13" s="289" customFormat="1" ht="61.5" customHeight="1" x14ac:dyDescent="0.3">
      <c r="A1017" s="69"/>
      <c r="B1017" s="8"/>
      <c r="C1017" s="82" t="s">
        <v>253</v>
      </c>
      <c r="D1017" s="34" t="s">
        <v>66</v>
      </c>
      <c r="E1017" s="27" t="s">
        <v>23</v>
      </c>
      <c r="F1017" s="91">
        <f>(0.45*2)*8</f>
        <v>7.2</v>
      </c>
      <c r="G1017" s="29">
        <v>339000</v>
      </c>
      <c r="H1017" s="38">
        <v>0.8</v>
      </c>
      <c r="I1017" s="31">
        <v>1.1479999999999999</v>
      </c>
      <c r="J1017" s="223">
        <f t="shared" si="143"/>
        <v>2242000</v>
      </c>
      <c r="K1017" s="32">
        <f t="shared" si="144"/>
        <v>2242000</v>
      </c>
      <c r="L1017" s="261">
        <f t="shared" si="142"/>
        <v>0</v>
      </c>
      <c r="M1017" s="14"/>
    </row>
    <row r="1018" spans="1:13" s="289" customFormat="1" ht="61.5" customHeight="1" x14ac:dyDescent="0.3">
      <c r="A1018" s="69"/>
      <c r="B1018" s="8"/>
      <c r="C1018" s="82" t="s">
        <v>254</v>
      </c>
      <c r="D1018" s="26" t="s">
        <v>26</v>
      </c>
      <c r="E1018" s="27" t="s">
        <v>23</v>
      </c>
      <c r="F1018" s="89">
        <f>2.8*2</f>
        <v>5.6</v>
      </c>
      <c r="G1018" s="29">
        <v>679000</v>
      </c>
      <c r="H1018" s="45">
        <v>0.8</v>
      </c>
      <c r="I1018" s="31">
        <v>1.1479999999999999</v>
      </c>
      <c r="J1018" s="223">
        <f t="shared" si="143"/>
        <v>3492000</v>
      </c>
      <c r="K1018" s="32">
        <f t="shared" si="144"/>
        <v>3492000</v>
      </c>
      <c r="L1018" s="261"/>
      <c r="M1018" s="14"/>
    </row>
    <row r="1019" spans="1:13" s="289" customFormat="1" ht="61.5" customHeight="1" x14ac:dyDescent="0.3">
      <c r="A1019" s="69"/>
      <c r="B1019" s="8"/>
      <c r="C1019" s="82" t="s">
        <v>255</v>
      </c>
      <c r="D1019" s="44" t="s">
        <v>33</v>
      </c>
      <c r="E1019" s="27" t="s">
        <v>23</v>
      </c>
      <c r="F1019" s="89">
        <f>5.2*2.6+3.5*0.6+(1.2*2.4)*2</f>
        <v>21.380000000000003</v>
      </c>
      <c r="G1019" s="29">
        <v>453000</v>
      </c>
      <c r="H1019" s="45">
        <v>0.8</v>
      </c>
      <c r="I1019" s="31">
        <v>1.1479999999999999</v>
      </c>
      <c r="J1019" s="223">
        <f t="shared" si="143"/>
        <v>8895000</v>
      </c>
      <c r="K1019" s="32">
        <f t="shared" si="144"/>
        <v>8895000</v>
      </c>
      <c r="L1019" s="261"/>
      <c r="M1019" s="14"/>
    </row>
    <row r="1020" spans="1:13" s="289" customFormat="1" ht="61.5" customHeight="1" x14ac:dyDescent="0.3">
      <c r="A1020" s="153"/>
      <c r="B1020" s="154"/>
      <c r="C1020" s="155" t="s">
        <v>256</v>
      </c>
      <c r="D1020" s="34" t="s">
        <v>55</v>
      </c>
      <c r="E1020" s="27" t="s">
        <v>23</v>
      </c>
      <c r="F1020" s="156">
        <f>(4.8*0.3)*2+0.6*0.8</f>
        <v>3.36</v>
      </c>
      <c r="G1020" s="29">
        <v>905000</v>
      </c>
      <c r="H1020" s="37">
        <v>0.8</v>
      </c>
      <c r="I1020" s="79">
        <v>1.1479999999999999</v>
      </c>
      <c r="J1020" s="223">
        <f t="shared" si="143"/>
        <v>2793000</v>
      </c>
      <c r="K1020" s="32">
        <f t="shared" si="144"/>
        <v>2793000</v>
      </c>
      <c r="L1020" s="262">
        <f t="shared" ref="L1020:L1030" si="145">J1020-K1020</f>
        <v>0</v>
      </c>
      <c r="M1020" s="24"/>
    </row>
    <row r="1021" spans="1:13" s="289" customFormat="1" ht="61.5" customHeight="1" x14ac:dyDescent="0.3">
      <c r="A1021" s="69"/>
      <c r="B1021" s="8"/>
      <c r="C1021" s="82" t="s">
        <v>257</v>
      </c>
      <c r="D1021" s="80" t="s">
        <v>58</v>
      </c>
      <c r="E1021" s="27" t="s">
        <v>35</v>
      </c>
      <c r="F1021" s="74">
        <v>2</v>
      </c>
      <c r="G1021" s="29">
        <v>1065100</v>
      </c>
      <c r="H1021" s="50">
        <v>1</v>
      </c>
      <c r="I1021" s="51">
        <v>1</v>
      </c>
      <c r="J1021" s="223">
        <f t="shared" si="143"/>
        <v>2130000</v>
      </c>
      <c r="K1021" s="32">
        <f t="shared" si="144"/>
        <v>2130000</v>
      </c>
      <c r="L1021" s="261">
        <f t="shared" si="145"/>
        <v>0</v>
      </c>
      <c r="M1021" s="14"/>
    </row>
    <row r="1022" spans="1:13" s="289" customFormat="1" ht="61.5" customHeight="1" x14ac:dyDescent="0.3">
      <c r="A1022" s="69"/>
      <c r="B1022" s="8"/>
      <c r="C1022" s="82" t="s">
        <v>258</v>
      </c>
      <c r="D1022" s="58" t="s">
        <v>41</v>
      </c>
      <c r="E1022" s="59" t="s">
        <v>42</v>
      </c>
      <c r="F1022" s="98">
        <v>17</v>
      </c>
      <c r="G1022" s="11">
        <v>10650</v>
      </c>
      <c r="H1022" s="60">
        <v>1</v>
      </c>
      <c r="I1022" s="61">
        <v>1</v>
      </c>
      <c r="J1022" s="223">
        <f t="shared" si="143"/>
        <v>181000</v>
      </c>
      <c r="K1022" s="32">
        <f t="shared" si="144"/>
        <v>181000</v>
      </c>
      <c r="L1022" s="261">
        <f t="shared" si="145"/>
        <v>0</v>
      </c>
      <c r="M1022" s="14"/>
    </row>
    <row r="1023" spans="1:13" s="289" customFormat="1" ht="61.5" customHeight="1" x14ac:dyDescent="0.3">
      <c r="A1023" s="69"/>
      <c r="B1023" s="8"/>
      <c r="C1023" s="82" t="s">
        <v>259</v>
      </c>
      <c r="D1023" s="140" t="s">
        <v>824</v>
      </c>
      <c r="E1023" s="174" t="s">
        <v>828</v>
      </c>
      <c r="F1023" s="72">
        <v>5</v>
      </c>
      <c r="G1023" s="180">
        <v>3200</v>
      </c>
      <c r="H1023" s="50">
        <v>1</v>
      </c>
      <c r="I1023" s="51">
        <v>1</v>
      </c>
      <c r="J1023" s="229">
        <f t="shared" si="143"/>
        <v>16000</v>
      </c>
      <c r="K1023" s="32">
        <f t="shared" si="144"/>
        <v>16000</v>
      </c>
      <c r="L1023" s="261">
        <f t="shared" si="145"/>
        <v>0</v>
      </c>
      <c r="M1023" s="14"/>
    </row>
    <row r="1024" spans="1:13" s="289" customFormat="1" ht="61.5" customHeight="1" x14ac:dyDescent="0.3">
      <c r="A1024" s="69"/>
      <c r="B1024" s="8"/>
      <c r="C1024" s="113" t="s">
        <v>43</v>
      </c>
      <c r="D1024" s="176" t="s">
        <v>44</v>
      </c>
      <c r="E1024" s="126" t="s">
        <v>45</v>
      </c>
      <c r="F1024" s="127">
        <v>6</v>
      </c>
      <c r="G1024" s="177">
        <v>28000</v>
      </c>
      <c r="H1024" s="178">
        <v>0.8</v>
      </c>
      <c r="I1024" s="179">
        <v>1.1479999999999999</v>
      </c>
      <c r="J1024" s="223">
        <f t="shared" si="143"/>
        <v>154000</v>
      </c>
      <c r="K1024" s="32">
        <f t="shared" si="144"/>
        <v>154000</v>
      </c>
      <c r="L1024" s="261">
        <f t="shared" si="145"/>
        <v>0</v>
      </c>
      <c r="M1024" s="14"/>
    </row>
    <row r="1025" spans="1:13" s="289" customFormat="1" ht="61.5" customHeight="1" x14ac:dyDescent="0.3">
      <c r="A1025" s="69"/>
      <c r="B1025" s="8"/>
      <c r="C1025" s="82" t="s">
        <v>46</v>
      </c>
      <c r="D1025" s="42" t="s">
        <v>47</v>
      </c>
      <c r="E1025" s="63" t="s">
        <v>45</v>
      </c>
      <c r="F1025" s="77">
        <v>6</v>
      </c>
      <c r="G1025" s="46">
        <v>28000</v>
      </c>
      <c r="H1025" s="56">
        <v>0.8</v>
      </c>
      <c r="I1025" s="31">
        <v>1.1479999999999999</v>
      </c>
      <c r="J1025" s="223">
        <f t="shared" si="143"/>
        <v>154000</v>
      </c>
      <c r="K1025" s="32">
        <f t="shared" si="144"/>
        <v>154000</v>
      </c>
      <c r="L1025" s="261">
        <f t="shared" si="145"/>
        <v>0</v>
      </c>
      <c r="M1025" s="14"/>
    </row>
    <row r="1026" spans="1:13" s="289" customFormat="1" ht="61.5" customHeight="1" x14ac:dyDescent="0.3">
      <c r="A1026" s="69"/>
      <c r="B1026" s="8"/>
      <c r="C1026" s="82" t="s">
        <v>260</v>
      </c>
      <c r="D1026" s="34" t="s">
        <v>31</v>
      </c>
      <c r="E1026" s="27" t="s">
        <v>23</v>
      </c>
      <c r="F1026" s="75">
        <f>8*5.5</f>
        <v>44</v>
      </c>
      <c r="G1026" s="29">
        <v>339000</v>
      </c>
      <c r="H1026" s="37">
        <v>0.8</v>
      </c>
      <c r="I1026" s="31">
        <v>1.1479999999999999</v>
      </c>
      <c r="J1026" s="223">
        <f t="shared" si="143"/>
        <v>13699000</v>
      </c>
      <c r="K1026" s="32">
        <f t="shared" si="144"/>
        <v>13699000</v>
      </c>
      <c r="L1026" s="261">
        <f t="shared" si="145"/>
        <v>0</v>
      </c>
      <c r="M1026" s="14"/>
    </row>
    <row r="1027" spans="1:13" s="289" customFormat="1" ht="61.5" customHeight="1" x14ac:dyDescent="0.3">
      <c r="A1027" s="69"/>
      <c r="B1027" s="8"/>
      <c r="C1027" s="82" t="s">
        <v>261</v>
      </c>
      <c r="D1027" s="97" t="s">
        <v>92</v>
      </c>
      <c r="E1027" s="27" t="s">
        <v>35</v>
      </c>
      <c r="F1027" s="98">
        <v>10</v>
      </c>
      <c r="G1027" s="29">
        <v>21300</v>
      </c>
      <c r="H1027" s="50">
        <v>1</v>
      </c>
      <c r="I1027" s="51">
        <v>1</v>
      </c>
      <c r="J1027" s="223">
        <f t="shared" si="143"/>
        <v>213000</v>
      </c>
      <c r="K1027" s="32">
        <f t="shared" si="144"/>
        <v>213000</v>
      </c>
      <c r="L1027" s="261">
        <f t="shared" si="145"/>
        <v>0</v>
      </c>
      <c r="M1027" s="14"/>
    </row>
    <row r="1028" spans="1:13" s="289" customFormat="1" ht="61.5" customHeight="1" x14ac:dyDescent="0.3">
      <c r="A1028" s="69"/>
      <c r="B1028" s="8"/>
      <c r="C1028" s="82" t="s">
        <v>262</v>
      </c>
      <c r="D1028" s="34" t="s">
        <v>30</v>
      </c>
      <c r="E1028" s="96" t="s">
        <v>91</v>
      </c>
      <c r="F1028" s="72">
        <f>14.8*0.8</f>
        <v>11.840000000000002</v>
      </c>
      <c r="G1028" s="11">
        <v>679000</v>
      </c>
      <c r="H1028" s="37">
        <v>0.8</v>
      </c>
      <c r="I1028" s="79">
        <v>1.1479999999999999</v>
      </c>
      <c r="J1028" s="223">
        <f t="shared" si="143"/>
        <v>7383000</v>
      </c>
      <c r="K1028" s="32">
        <f t="shared" si="144"/>
        <v>7383000</v>
      </c>
      <c r="L1028" s="261">
        <f t="shared" si="145"/>
        <v>0</v>
      </c>
      <c r="M1028" s="14"/>
    </row>
    <row r="1029" spans="1:13" s="289" customFormat="1" ht="61.5" customHeight="1" x14ac:dyDescent="0.3">
      <c r="A1029" s="69"/>
      <c r="B1029" s="8"/>
      <c r="C1029" s="82" t="s">
        <v>263</v>
      </c>
      <c r="D1029" s="34" t="s">
        <v>66</v>
      </c>
      <c r="E1029" s="27" t="s">
        <v>23</v>
      </c>
      <c r="F1029" s="72">
        <f>8.4*3.2</f>
        <v>26.880000000000003</v>
      </c>
      <c r="G1029" s="29">
        <v>339000</v>
      </c>
      <c r="H1029" s="38">
        <v>0.8</v>
      </c>
      <c r="I1029" s="31">
        <v>1.1479999999999999</v>
      </c>
      <c r="J1029" s="223">
        <f t="shared" si="143"/>
        <v>8369000</v>
      </c>
      <c r="K1029" s="32">
        <f t="shared" si="144"/>
        <v>8369000</v>
      </c>
      <c r="L1029" s="261">
        <f t="shared" si="145"/>
        <v>0</v>
      </c>
      <c r="M1029" s="14"/>
    </row>
    <row r="1030" spans="1:13" s="289" customFormat="1" ht="61.5" customHeight="1" x14ac:dyDescent="0.3">
      <c r="A1030" s="69"/>
      <c r="B1030" s="8"/>
      <c r="C1030" s="82" t="s">
        <v>264</v>
      </c>
      <c r="D1030" s="26" t="s">
        <v>36</v>
      </c>
      <c r="E1030" s="27" t="s">
        <v>35</v>
      </c>
      <c r="F1030" s="98">
        <v>3</v>
      </c>
      <c r="G1030" s="49">
        <v>213020</v>
      </c>
      <c r="H1030" s="52">
        <v>1</v>
      </c>
      <c r="I1030" s="53">
        <v>1</v>
      </c>
      <c r="J1030" s="223">
        <f t="shared" si="143"/>
        <v>639000</v>
      </c>
      <c r="K1030" s="32">
        <f t="shared" si="144"/>
        <v>639000</v>
      </c>
      <c r="L1030" s="261">
        <f t="shared" si="145"/>
        <v>0</v>
      </c>
      <c r="M1030" s="14"/>
    </row>
    <row r="1031" spans="1:13" ht="53.25" customHeight="1" x14ac:dyDescent="0.3">
      <c r="A1031" s="149">
        <v>58</v>
      </c>
      <c r="B1031" s="109" t="s">
        <v>993</v>
      </c>
      <c r="C1031" s="455" t="s">
        <v>994</v>
      </c>
      <c r="D1031" s="456"/>
      <c r="E1031" s="456"/>
      <c r="F1031" s="456"/>
      <c r="G1031" s="456"/>
      <c r="H1031" s="456"/>
      <c r="I1031" s="457"/>
      <c r="J1031" s="221">
        <f>SUM(J1032:J1071)</f>
        <v>504464000</v>
      </c>
      <c r="K1031" s="32">
        <f>ROUND(G1031*H1031*I1031*F1031,-3)</f>
        <v>0</v>
      </c>
      <c r="L1031" s="261">
        <f t="shared" ref="L1031:L1071" si="146">J1031-K1031</f>
        <v>504464000</v>
      </c>
      <c r="M1031" s="24"/>
    </row>
    <row r="1032" spans="1:13" ht="80.25" customHeight="1" x14ac:dyDescent="0.3">
      <c r="A1032" s="67"/>
      <c r="B1032" s="68"/>
      <c r="C1032" s="20" t="s">
        <v>995</v>
      </c>
      <c r="D1032" s="267"/>
      <c r="E1032" s="27" t="s">
        <v>23</v>
      </c>
      <c r="F1032" s="35">
        <v>196.9</v>
      </c>
      <c r="G1032" s="464" t="s">
        <v>1122</v>
      </c>
      <c r="H1032" s="464"/>
      <c r="I1032" s="465"/>
      <c r="J1032" s="227"/>
      <c r="K1032" s="32"/>
      <c r="L1032" s="261">
        <f t="shared" si="146"/>
        <v>0</v>
      </c>
      <c r="M1032" s="14"/>
    </row>
    <row r="1033" spans="1:13" ht="80.25" customHeight="1" x14ac:dyDescent="0.3">
      <c r="A1033" s="69"/>
      <c r="B1033" s="8"/>
      <c r="C1033" s="82" t="s">
        <v>996</v>
      </c>
      <c r="D1033" s="269" t="s">
        <v>88</v>
      </c>
      <c r="E1033" s="8" t="s">
        <v>25</v>
      </c>
      <c r="F1033" s="72">
        <f>(0.45*0.45*4.5)*2</f>
        <v>1.8225000000000002</v>
      </c>
      <c r="G1033" s="11">
        <v>2828000</v>
      </c>
      <c r="H1033" s="45">
        <v>0.8</v>
      </c>
      <c r="I1033" s="31">
        <v>1.1479999999999999</v>
      </c>
      <c r="J1033" s="223">
        <f t="shared" ref="J1033:J1071" si="147">ROUND(F1033*G1033*H1033*I1033,-3)</f>
        <v>4733000</v>
      </c>
      <c r="K1033" s="32">
        <f t="shared" ref="K1033:K1089" si="148">ROUND(G1033*H1033*I1033*F1033,-3)</f>
        <v>4733000</v>
      </c>
      <c r="L1033" s="261">
        <f t="shared" si="146"/>
        <v>0</v>
      </c>
      <c r="M1033" s="14"/>
    </row>
    <row r="1034" spans="1:13" ht="78.75" customHeight="1" x14ac:dyDescent="0.3">
      <c r="A1034" s="69"/>
      <c r="B1034" s="8"/>
      <c r="C1034" s="82" t="s">
        <v>997</v>
      </c>
      <c r="D1034" s="269" t="s">
        <v>88</v>
      </c>
      <c r="E1034" s="27" t="s">
        <v>25</v>
      </c>
      <c r="F1034" s="72">
        <f>(0.35*0.35*3.4)*2</f>
        <v>0.83299999999999985</v>
      </c>
      <c r="G1034" s="29">
        <v>2828000</v>
      </c>
      <c r="H1034" s="45">
        <v>0.8</v>
      </c>
      <c r="I1034" s="31">
        <v>1.1479999999999999</v>
      </c>
      <c r="J1034" s="223">
        <f t="shared" si="147"/>
        <v>2163000</v>
      </c>
      <c r="K1034" s="32">
        <f t="shared" si="148"/>
        <v>2163000</v>
      </c>
      <c r="L1034" s="261">
        <f t="shared" si="146"/>
        <v>0</v>
      </c>
      <c r="M1034" s="14"/>
    </row>
    <row r="1035" spans="1:13" ht="61.5" customHeight="1" x14ac:dyDescent="0.3">
      <c r="A1035" s="69"/>
      <c r="B1035" s="8"/>
      <c r="C1035" s="82" t="s">
        <v>998</v>
      </c>
      <c r="D1035" s="270" t="s">
        <v>562</v>
      </c>
      <c r="E1035" s="27" t="s">
        <v>23</v>
      </c>
      <c r="F1035" s="72">
        <f>4.9*2+(2.3*2)*2+2.2*0.6</f>
        <v>20.32</v>
      </c>
      <c r="G1035" s="29">
        <v>577000</v>
      </c>
      <c r="H1035" s="45">
        <v>0.8</v>
      </c>
      <c r="I1035" s="31">
        <v>1.1479999999999999</v>
      </c>
      <c r="J1035" s="223">
        <f t="shared" si="147"/>
        <v>10768000</v>
      </c>
      <c r="K1035" s="32">
        <f t="shared" si="148"/>
        <v>10768000</v>
      </c>
      <c r="L1035" s="261">
        <f t="shared" si="146"/>
        <v>0</v>
      </c>
      <c r="M1035" s="14"/>
    </row>
    <row r="1036" spans="1:13" ht="61.5" customHeight="1" x14ac:dyDescent="0.3">
      <c r="A1036" s="69"/>
      <c r="B1036" s="8"/>
      <c r="C1036" s="82" t="s">
        <v>999</v>
      </c>
      <c r="D1036" s="267" t="s">
        <v>26</v>
      </c>
      <c r="E1036" s="27" t="s">
        <v>23</v>
      </c>
      <c r="F1036" s="72">
        <f>2.3*2.6</f>
        <v>5.9799999999999995</v>
      </c>
      <c r="G1036" s="29">
        <v>679000</v>
      </c>
      <c r="H1036" s="45">
        <v>0.8</v>
      </c>
      <c r="I1036" s="31">
        <v>1.1479999999999999</v>
      </c>
      <c r="J1036" s="223">
        <f t="shared" si="147"/>
        <v>3729000</v>
      </c>
      <c r="K1036" s="32">
        <f t="shared" si="148"/>
        <v>3729000</v>
      </c>
      <c r="L1036" s="261">
        <f t="shared" si="146"/>
        <v>0</v>
      </c>
      <c r="M1036" s="14"/>
    </row>
    <row r="1037" spans="1:13" ht="61.5" customHeight="1" x14ac:dyDescent="0.3">
      <c r="A1037" s="69"/>
      <c r="B1037" s="8"/>
      <c r="C1037" s="82" t="s">
        <v>1000</v>
      </c>
      <c r="D1037" s="270" t="s">
        <v>29</v>
      </c>
      <c r="E1037" s="27" t="s">
        <v>23</v>
      </c>
      <c r="F1037" s="72">
        <f>9.5*1.75+0.8*2.3+11.6*0.4+8.1*0.45</f>
        <v>26.75</v>
      </c>
      <c r="G1037" s="29">
        <v>792000</v>
      </c>
      <c r="H1037" s="45">
        <v>0.8</v>
      </c>
      <c r="I1037" s="31">
        <v>1.1479999999999999</v>
      </c>
      <c r="J1037" s="223">
        <f t="shared" si="147"/>
        <v>19457000</v>
      </c>
      <c r="K1037" s="32">
        <f t="shared" si="148"/>
        <v>19457000</v>
      </c>
      <c r="L1037" s="261">
        <f t="shared" si="146"/>
        <v>0</v>
      </c>
      <c r="M1037" s="14"/>
    </row>
    <row r="1038" spans="1:13" ht="61.5" customHeight="1" x14ac:dyDescent="0.3">
      <c r="A1038" s="69"/>
      <c r="B1038" s="8"/>
      <c r="C1038" s="82" t="s">
        <v>1001</v>
      </c>
      <c r="D1038" s="271" t="s">
        <v>34</v>
      </c>
      <c r="E1038" s="27" t="s">
        <v>23</v>
      </c>
      <c r="F1038" s="75">
        <f>5.4*0.3+1.2*0.3</f>
        <v>1.98</v>
      </c>
      <c r="G1038" s="46">
        <v>566000</v>
      </c>
      <c r="H1038" s="45">
        <v>0.8</v>
      </c>
      <c r="I1038" s="31">
        <v>1.1479999999999999</v>
      </c>
      <c r="J1038" s="225">
        <f t="shared" si="147"/>
        <v>1029000</v>
      </c>
      <c r="K1038" s="32">
        <f t="shared" si="148"/>
        <v>1029000</v>
      </c>
      <c r="L1038" s="261">
        <f t="shared" si="146"/>
        <v>0</v>
      </c>
      <c r="M1038" s="14"/>
    </row>
    <row r="1039" spans="1:13" ht="61.5" customHeight="1" x14ac:dyDescent="0.3">
      <c r="A1039" s="69"/>
      <c r="B1039" s="8"/>
      <c r="C1039" s="82" t="s">
        <v>1002</v>
      </c>
      <c r="D1039" s="270" t="s">
        <v>101</v>
      </c>
      <c r="E1039" s="96" t="s">
        <v>91</v>
      </c>
      <c r="F1039" s="72">
        <f>2.5*1.6+(1.6*1.2)*2+1.6*1.8</f>
        <v>10.72</v>
      </c>
      <c r="G1039" s="29">
        <v>339000</v>
      </c>
      <c r="H1039" s="45">
        <v>0.8</v>
      </c>
      <c r="I1039" s="31">
        <v>1.1479999999999999</v>
      </c>
      <c r="J1039" s="223">
        <f t="shared" si="147"/>
        <v>3338000</v>
      </c>
      <c r="K1039" s="32">
        <f t="shared" si="148"/>
        <v>3338000</v>
      </c>
      <c r="L1039" s="261">
        <f t="shared" si="146"/>
        <v>0</v>
      </c>
      <c r="M1039" s="14"/>
    </row>
    <row r="1040" spans="1:13" ht="61.5" customHeight="1" x14ac:dyDescent="0.3">
      <c r="A1040" s="69"/>
      <c r="B1040" s="8"/>
      <c r="C1040" s="82" t="s">
        <v>1003</v>
      </c>
      <c r="D1040" s="270" t="s">
        <v>31</v>
      </c>
      <c r="E1040" s="27" t="s">
        <v>23</v>
      </c>
      <c r="F1040" s="72">
        <f>7.4*2.6</f>
        <v>19.240000000000002</v>
      </c>
      <c r="G1040" s="29">
        <v>339000</v>
      </c>
      <c r="H1040" s="45">
        <v>0.8</v>
      </c>
      <c r="I1040" s="31">
        <v>1.1479999999999999</v>
      </c>
      <c r="J1040" s="223">
        <f t="shared" si="147"/>
        <v>5990000</v>
      </c>
      <c r="K1040" s="32">
        <f t="shared" si="148"/>
        <v>5990000</v>
      </c>
      <c r="L1040" s="261">
        <f t="shared" si="146"/>
        <v>0</v>
      </c>
      <c r="M1040" s="14"/>
    </row>
    <row r="1041" spans="1:13" ht="61.5" customHeight="1" x14ac:dyDescent="0.3">
      <c r="A1041" s="69"/>
      <c r="B1041" s="8"/>
      <c r="C1041" s="82" t="s">
        <v>699</v>
      </c>
      <c r="D1041" s="270" t="s">
        <v>1033</v>
      </c>
      <c r="E1041" s="27" t="s">
        <v>39</v>
      </c>
      <c r="F1041" s="76">
        <v>1</v>
      </c>
      <c r="G1041" s="171">
        <v>1358000</v>
      </c>
      <c r="H1041" s="45">
        <v>0.8</v>
      </c>
      <c r="I1041" s="57">
        <v>1.1479999999999999</v>
      </c>
      <c r="J1041" s="226">
        <f t="shared" si="147"/>
        <v>1247000</v>
      </c>
      <c r="K1041" s="32">
        <f t="shared" si="148"/>
        <v>1247000</v>
      </c>
      <c r="L1041" s="261">
        <f t="shared" si="146"/>
        <v>0</v>
      </c>
      <c r="M1041" s="14"/>
    </row>
    <row r="1042" spans="1:13" ht="61.5" customHeight="1" x14ac:dyDescent="0.3">
      <c r="A1042" s="69"/>
      <c r="B1042" s="8"/>
      <c r="C1042" s="82" t="s">
        <v>1004</v>
      </c>
      <c r="D1042" s="271" t="s">
        <v>32</v>
      </c>
      <c r="E1042" s="27" t="s">
        <v>23</v>
      </c>
      <c r="F1042" s="89">
        <f>7.7*7.6+(5.4*2.9)*2</f>
        <v>89.84</v>
      </c>
      <c r="G1042" s="29">
        <v>215000</v>
      </c>
      <c r="H1042" s="45">
        <v>0.8</v>
      </c>
      <c r="I1042" s="31">
        <v>1.1479999999999999</v>
      </c>
      <c r="J1042" s="223">
        <f t="shared" si="147"/>
        <v>17739000</v>
      </c>
      <c r="K1042" s="32">
        <f t="shared" si="148"/>
        <v>17739000</v>
      </c>
      <c r="L1042" s="261">
        <f t="shared" si="146"/>
        <v>0</v>
      </c>
      <c r="M1042" s="14"/>
    </row>
    <row r="1043" spans="1:13" ht="61.5" customHeight="1" x14ac:dyDescent="0.3">
      <c r="A1043" s="69"/>
      <c r="B1043" s="8"/>
      <c r="C1043" s="82" t="s">
        <v>1005</v>
      </c>
      <c r="D1043" s="274" t="s">
        <v>63</v>
      </c>
      <c r="E1043" s="27" t="s">
        <v>23</v>
      </c>
      <c r="F1043" s="72">
        <f>11.7*8.75</f>
        <v>102.375</v>
      </c>
      <c r="G1043" s="49">
        <v>2975000</v>
      </c>
      <c r="H1043" s="45">
        <v>0.8</v>
      </c>
      <c r="I1043" s="31">
        <v>1.1479999999999999</v>
      </c>
      <c r="J1043" s="223">
        <f t="shared" si="147"/>
        <v>279713000</v>
      </c>
      <c r="K1043" s="32">
        <f t="shared" si="148"/>
        <v>279713000</v>
      </c>
      <c r="L1043" s="261">
        <f t="shared" si="146"/>
        <v>0</v>
      </c>
      <c r="M1043" s="14"/>
    </row>
    <row r="1044" spans="1:13" ht="61.5" customHeight="1" x14ac:dyDescent="0.3">
      <c r="A1044" s="69"/>
      <c r="B1044" s="8"/>
      <c r="C1044" s="82" t="s">
        <v>1006</v>
      </c>
      <c r="D1044" s="274" t="s">
        <v>63</v>
      </c>
      <c r="E1044" s="27" t="s">
        <v>928</v>
      </c>
      <c r="F1044" s="72">
        <f>4.65*2.35+4.45*4.65</f>
        <v>31.620000000000005</v>
      </c>
      <c r="G1044" s="49">
        <v>2975001</v>
      </c>
      <c r="H1044" s="45">
        <v>0.8</v>
      </c>
      <c r="I1044" s="31">
        <v>1.1479999999999999</v>
      </c>
      <c r="J1044" s="223">
        <f t="shared" si="147"/>
        <v>86393000</v>
      </c>
      <c r="K1044" s="32">
        <f t="shared" si="148"/>
        <v>86393000</v>
      </c>
      <c r="L1044" s="261">
        <f t="shared" si="146"/>
        <v>0</v>
      </c>
      <c r="M1044" s="14"/>
    </row>
    <row r="1045" spans="1:13" ht="61.5" customHeight="1" x14ac:dyDescent="0.3">
      <c r="A1045" s="69"/>
      <c r="B1045" s="8"/>
      <c r="C1045" s="82" t="s">
        <v>1007</v>
      </c>
      <c r="D1045" s="271" t="s">
        <v>54</v>
      </c>
      <c r="E1045" s="27" t="s">
        <v>23</v>
      </c>
      <c r="F1045" s="72">
        <f>3.8*11.1+4.35*2</f>
        <v>50.879999999999995</v>
      </c>
      <c r="G1045" s="46">
        <v>28000</v>
      </c>
      <c r="H1045" s="45">
        <v>0.8</v>
      </c>
      <c r="I1045" s="31">
        <v>1.1479999999999999</v>
      </c>
      <c r="J1045" s="223">
        <f t="shared" si="147"/>
        <v>1308000</v>
      </c>
      <c r="K1045" s="32">
        <f t="shared" si="148"/>
        <v>1308000</v>
      </c>
      <c r="L1045" s="261">
        <f t="shared" si="146"/>
        <v>0</v>
      </c>
      <c r="M1045" s="14"/>
    </row>
    <row r="1046" spans="1:13" ht="61.5" customHeight="1" x14ac:dyDescent="0.3">
      <c r="A1046" s="69"/>
      <c r="B1046" s="8"/>
      <c r="C1046" s="82" t="s">
        <v>1008</v>
      </c>
      <c r="D1046" s="271" t="s">
        <v>32</v>
      </c>
      <c r="E1046" s="27" t="s">
        <v>23</v>
      </c>
      <c r="F1046" s="89">
        <f>(1.3*3.4)*4</f>
        <v>17.68</v>
      </c>
      <c r="G1046" s="29">
        <v>215000</v>
      </c>
      <c r="H1046" s="45">
        <v>0.8</v>
      </c>
      <c r="I1046" s="31">
        <v>1.1479999999999999</v>
      </c>
      <c r="J1046" s="223">
        <f t="shared" si="147"/>
        <v>3491000</v>
      </c>
      <c r="K1046" s="32">
        <f t="shared" si="148"/>
        <v>3491000</v>
      </c>
      <c r="L1046" s="261">
        <f t="shared" si="146"/>
        <v>0</v>
      </c>
      <c r="M1046" s="14"/>
    </row>
    <row r="1047" spans="1:13" ht="61.5" customHeight="1" x14ac:dyDescent="0.3">
      <c r="A1047" s="69"/>
      <c r="B1047" s="8"/>
      <c r="C1047" s="82" t="s">
        <v>1009</v>
      </c>
      <c r="D1047" s="267" t="s">
        <v>48</v>
      </c>
      <c r="E1047" s="71" t="s">
        <v>23</v>
      </c>
      <c r="F1047" s="72">
        <f>2.2*2.1</f>
        <v>4.620000000000001</v>
      </c>
      <c r="G1047" s="73">
        <v>2263000</v>
      </c>
      <c r="H1047" s="45">
        <v>0.8</v>
      </c>
      <c r="I1047" s="31">
        <v>1.1479999999999999</v>
      </c>
      <c r="J1047" s="223">
        <f t="shared" si="147"/>
        <v>9602000</v>
      </c>
      <c r="K1047" s="32">
        <f t="shared" si="148"/>
        <v>9602000</v>
      </c>
      <c r="L1047" s="261">
        <f t="shared" si="146"/>
        <v>0</v>
      </c>
      <c r="M1047" s="14"/>
    </row>
    <row r="1048" spans="1:13" ht="61.5" customHeight="1" x14ac:dyDescent="0.3">
      <c r="A1048" s="69"/>
      <c r="B1048" s="8"/>
      <c r="C1048" s="82" t="s">
        <v>1010</v>
      </c>
      <c r="D1048" s="270" t="s">
        <v>66</v>
      </c>
      <c r="E1048" s="27" t="s">
        <v>23</v>
      </c>
      <c r="F1048" s="72">
        <f>(0.45*2)*8+(0.35*2)*7</f>
        <v>12.1</v>
      </c>
      <c r="G1048" s="29">
        <v>339000</v>
      </c>
      <c r="H1048" s="45">
        <v>0.8</v>
      </c>
      <c r="I1048" s="79">
        <v>1.1479999999999999</v>
      </c>
      <c r="J1048" s="223">
        <f t="shared" si="147"/>
        <v>3767000</v>
      </c>
      <c r="K1048" s="32">
        <f t="shared" si="148"/>
        <v>3767000</v>
      </c>
      <c r="L1048" s="261">
        <f t="shared" si="146"/>
        <v>0</v>
      </c>
      <c r="M1048" s="14"/>
    </row>
    <row r="1049" spans="1:13" ht="61.5" customHeight="1" x14ac:dyDescent="0.3">
      <c r="A1049" s="69"/>
      <c r="B1049" s="8"/>
      <c r="C1049" s="82" t="s">
        <v>1011</v>
      </c>
      <c r="D1049" s="267" t="s">
        <v>26</v>
      </c>
      <c r="E1049" s="27" t="s">
        <v>23</v>
      </c>
      <c r="F1049" s="72">
        <f>(1.9*0.8)*2</f>
        <v>3.04</v>
      </c>
      <c r="G1049" s="29">
        <v>679000</v>
      </c>
      <c r="H1049" s="45">
        <v>0.8</v>
      </c>
      <c r="I1049" s="31">
        <v>1.1479999999999999</v>
      </c>
      <c r="J1049" s="223">
        <f t="shared" si="147"/>
        <v>1896000</v>
      </c>
      <c r="K1049" s="32">
        <f t="shared" si="148"/>
        <v>1896000</v>
      </c>
      <c r="L1049" s="261">
        <f t="shared" si="146"/>
        <v>0</v>
      </c>
      <c r="M1049" s="14"/>
    </row>
    <row r="1050" spans="1:13" ht="61.5" customHeight="1" x14ac:dyDescent="0.3">
      <c r="A1050" s="69"/>
      <c r="B1050" s="8"/>
      <c r="C1050" s="82" t="s">
        <v>1012</v>
      </c>
      <c r="D1050" s="269" t="s">
        <v>88</v>
      </c>
      <c r="E1050" s="27" t="s">
        <v>25</v>
      </c>
      <c r="F1050" s="72">
        <f>(0.32*0.32*2)*5</f>
        <v>1.024</v>
      </c>
      <c r="G1050" s="29">
        <v>2828000</v>
      </c>
      <c r="H1050" s="45">
        <v>0.8</v>
      </c>
      <c r="I1050" s="31">
        <v>1.1479999999999999</v>
      </c>
      <c r="J1050" s="223">
        <f t="shared" si="147"/>
        <v>2660000</v>
      </c>
      <c r="K1050" s="32">
        <f t="shared" si="148"/>
        <v>2660000</v>
      </c>
      <c r="L1050" s="261">
        <f t="shared" si="146"/>
        <v>0</v>
      </c>
      <c r="M1050" s="14"/>
    </row>
    <row r="1051" spans="1:13" ht="61.5" customHeight="1" x14ac:dyDescent="0.3">
      <c r="A1051" s="69"/>
      <c r="B1051" s="8"/>
      <c r="C1051" s="82" t="s">
        <v>1013</v>
      </c>
      <c r="D1051" s="269" t="s">
        <v>88</v>
      </c>
      <c r="E1051" s="8" t="s">
        <v>25</v>
      </c>
      <c r="F1051" s="72">
        <f>(0.4*0.4*3.9)*2</f>
        <v>1.2480000000000002</v>
      </c>
      <c r="G1051" s="11">
        <v>2828000</v>
      </c>
      <c r="H1051" s="45">
        <v>0.8</v>
      </c>
      <c r="I1051" s="31">
        <v>1.1479999999999999</v>
      </c>
      <c r="J1051" s="223">
        <f t="shared" si="147"/>
        <v>3241000</v>
      </c>
      <c r="K1051" s="32">
        <f t="shared" si="148"/>
        <v>3241000</v>
      </c>
      <c r="L1051" s="261">
        <f t="shared" si="146"/>
        <v>0</v>
      </c>
      <c r="M1051" s="14"/>
    </row>
    <row r="1052" spans="1:13" ht="61.5" customHeight="1" x14ac:dyDescent="0.3">
      <c r="A1052" s="69"/>
      <c r="B1052" s="8"/>
      <c r="C1052" s="82" t="s">
        <v>1028</v>
      </c>
      <c r="D1052" s="271" t="s">
        <v>54</v>
      </c>
      <c r="E1052" s="27" t="s">
        <v>23</v>
      </c>
      <c r="F1052" s="72">
        <f>2.8*0.8+3.3*1.2+3.2*1.2</f>
        <v>10.039999999999999</v>
      </c>
      <c r="G1052" s="46">
        <v>213000</v>
      </c>
      <c r="H1052" s="45">
        <v>0.8</v>
      </c>
      <c r="I1052" s="57">
        <v>1.1479999999999999</v>
      </c>
      <c r="J1052" s="223">
        <f t="shared" si="147"/>
        <v>1964000</v>
      </c>
      <c r="K1052" s="32">
        <f t="shared" si="148"/>
        <v>1964000</v>
      </c>
      <c r="L1052" s="261">
        <f t="shared" si="146"/>
        <v>0</v>
      </c>
      <c r="M1052" s="14"/>
    </row>
    <row r="1053" spans="1:13" ht="61.5" customHeight="1" x14ac:dyDescent="0.3">
      <c r="A1053" s="69"/>
      <c r="B1053" s="8"/>
      <c r="C1053" s="82" t="s">
        <v>1014</v>
      </c>
      <c r="D1053" s="270" t="s">
        <v>55</v>
      </c>
      <c r="E1053" s="27" t="s">
        <v>23</v>
      </c>
      <c r="F1053" s="89">
        <f>0.4*2.2</f>
        <v>0.88000000000000012</v>
      </c>
      <c r="G1053" s="29">
        <v>905000</v>
      </c>
      <c r="H1053" s="45">
        <v>0.8</v>
      </c>
      <c r="I1053" s="79">
        <v>1.1479999999999999</v>
      </c>
      <c r="J1053" s="223">
        <f t="shared" si="147"/>
        <v>731000</v>
      </c>
      <c r="K1053" s="32">
        <f t="shared" si="148"/>
        <v>731000</v>
      </c>
      <c r="L1053" s="261">
        <f t="shared" si="146"/>
        <v>0</v>
      </c>
      <c r="M1053" s="14"/>
    </row>
    <row r="1054" spans="1:13" ht="61.5" customHeight="1" x14ac:dyDescent="0.3">
      <c r="A1054" s="69"/>
      <c r="B1054" s="8"/>
      <c r="C1054" s="82" t="s">
        <v>1015</v>
      </c>
      <c r="D1054" s="270" t="s">
        <v>66</v>
      </c>
      <c r="E1054" s="27" t="s">
        <v>23</v>
      </c>
      <c r="F1054" s="89">
        <f>5.4*1.8+11*1.5+(11*1.2)*2</f>
        <v>52.62</v>
      </c>
      <c r="G1054" s="29">
        <v>339000</v>
      </c>
      <c r="H1054" s="45">
        <v>0.8</v>
      </c>
      <c r="I1054" s="79">
        <v>1.1479999999999999</v>
      </c>
      <c r="J1054" s="223">
        <f t="shared" si="147"/>
        <v>16383000</v>
      </c>
      <c r="K1054" s="32">
        <f t="shared" si="148"/>
        <v>16383000</v>
      </c>
      <c r="L1054" s="261">
        <f t="shared" si="146"/>
        <v>0</v>
      </c>
      <c r="M1054" s="14"/>
    </row>
    <row r="1055" spans="1:13" ht="61.5" customHeight="1" x14ac:dyDescent="0.3">
      <c r="A1055" s="69"/>
      <c r="B1055" s="8"/>
      <c r="C1055" s="82" t="s">
        <v>1016</v>
      </c>
      <c r="D1055" s="267" t="s">
        <v>161</v>
      </c>
      <c r="E1055" s="71" t="s">
        <v>23</v>
      </c>
      <c r="F1055" s="72">
        <f>2.9*2.3</f>
        <v>6.669999999999999</v>
      </c>
      <c r="G1055" s="55">
        <v>396000</v>
      </c>
      <c r="H1055" s="45">
        <v>0.8</v>
      </c>
      <c r="I1055" s="31">
        <v>1.1479999999999999</v>
      </c>
      <c r="J1055" s="223">
        <f t="shared" si="147"/>
        <v>2426000</v>
      </c>
      <c r="K1055" s="32">
        <f t="shared" si="148"/>
        <v>2426000</v>
      </c>
      <c r="L1055" s="261">
        <f t="shared" si="146"/>
        <v>0</v>
      </c>
      <c r="M1055" s="14"/>
    </row>
    <row r="1056" spans="1:13" ht="61.5" customHeight="1" x14ac:dyDescent="0.3">
      <c r="A1056" s="69"/>
      <c r="B1056" s="8"/>
      <c r="C1056" s="82" t="s">
        <v>1017</v>
      </c>
      <c r="D1056" s="271" t="s">
        <v>54</v>
      </c>
      <c r="E1056" s="27" t="s">
        <v>23</v>
      </c>
      <c r="F1056" s="72">
        <f>(0.35*2.4)*2</f>
        <v>1.68</v>
      </c>
      <c r="G1056" s="46">
        <v>28000</v>
      </c>
      <c r="H1056" s="45">
        <v>0.8</v>
      </c>
      <c r="I1056" s="31">
        <v>1.1479999999999999</v>
      </c>
      <c r="J1056" s="223">
        <f t="shared" si="147"/>
        <v>43000</v>
      </c>
      <c r="K1056" s="32">
        <f t="shared" si="148"/>
        <v>43000</v>
      </c>
      <c r="L1056" s="261">
        <f t="shared" si="146"/>
        <v>0</v>
      </c>
      <c r="M1056" s="14"/>
    </row>
    <row r="1057" spans="1:13" ht="61.5" customHeight="1" x14ac:dyDescent="0.3">
      <c r="A1057" s="69"/>
      <c r="B1057" s="8"/>
      <c r="C1057" s="82" t="s">
        <v>1018</v>
      </c>
      <c r="D1057" s="271" t="s">
        <v>32</v>
      </c>
      <c r="E1057" s="27" t="s">
        <v>23</v>
      </c>
      <c r="F1057" s="72">
        <f>11.7*4.9</f>
        <v>57.33</v>
      </c>
      <c r="G1057" s="29">
        <v>215000</v>
      </c>
      <c r="H1057" s="45">
        <v>0.8</v>
      </c>
      <c r="I1057" s="31">
        <v>1.1479999999999999</v>
      </c>
      <c r="J1057" s="223">
        <f t="shared" si="147"/>
        <v>11320000</v>
      </c>
      <c r="K1057" s="32">
        <f t="shared" si="148"/>
        <v>11320000</v>
      </c>
      <c r="L1057" s="261">
        <f t="shared" si="146"/>
        <v>0</v>
      </c>
      <c r="M1057" s="14"/>
    </row>
    <row r="1058" spans="1:13" ht="61.5" customHeight="1" x14ac:dyDescent="0.3">
      <c r="A1058" s="69"/>
      <c r="B1058" s="8"/>
      <c r="C1058" s="82" t="s">
        <v>1019</v>
      </c>
      <c r="D1058" s="192" t="s">
        <v>58</v>
      </c>
      <c r="E1058" s="27" t="s">
        <v>35</v>
      </c>
      <c r="F1058" s="98">
        <v>3</v>
      </c>
      <c r="G1058" s="49">
        <v>532550</v>
      </c>
      <c r="H1058" s="50">
        <v>1</v>
      </c>
      <c r="I1058" s="51">
        <v>1</v>
      </c>
      <c r="J1058" s="223">
        <f t="shared" si="147"/>
        <v>1598000</v>
      </c>
      <c r="K1058" s="32">
        <f t="shared" si="148"/>
        <v>1598000</v>
      </c>
      <c r="L1058" s="261">
        <f t="shared" si="146"/>
        <v>0</v>
      </c>
      <c r="M1058" s="14"/>
    </row>
    <row r="1059" spans="1:13" ht="61.5" customHeight="1" x14ac:dyDescent="0.3">
      <c r="A1059" s="69"/>
      <c r="B1059" s="8"/>
      <c r="C1059" s="82" t="s">
        <v>1020</v>
      </c>
      <c r="D1059" s="192" t="s">
        <v>59</v>
      </c>
      <c r="E1059" s="27" t="s">
        <v>35</v>
      </c>
      <c r="F1059" s="76">
        <v>1</v>
      </c>
      <c r="G1059" s="11">
        <v>286510</v>
      </c>
      <c r="H1059" s="50">
        <v>1</v>
      </c>
      <c r="I1059" s="51">
        <v>1</v>
      </c>
      <c r="J1059" s="223">
        <f t="shared" si="147"/>
        <v>287000</v>
      </c>
      <c r="K1059" s="32">
        <f t="shared" si="148"/>
        <v>287000</v>
      </c>
      <c r="L1059" s="261">
        <f t="shared" si="146"/>
        <v>0</v>
      </c>
      <c r="M1059" s="14"/>
    </row>
    <row r="1060" spans="1:13" ht="61.5" customHeight="1" x14ac:dyDescent="0.3">
      <c r="A1060" s="69"/>
      <c r="B1060" s="8"/>
      <c r="C1060" s="82" t="s">
        <v>1021</v>
      </c>
      <c r="D1060" s="192" t="s">
        <v>59</v>
      </c>
      <c r="E1060" s="27" t="s">
        <v>35</v>
      </c>
      <c r="F1060" s="98">
        <v>2</v>
      </c>
      <c r="G1060" s="55">
        <v>308880</v>
      </c>
      <c r="H1060" s="50">
        <v>1</v>
      </c>
      <c r="I1060" s="51">
        <v>1</v>
      </c>
      <c r="J1060" s="223">
        <f t="shared" si="147"/>
        <v>618000</v>
      </c>
      <c r="K1060" s="32">
        <f t="shared" si="148"/>
        <v>618000</v>
      </c>
      <c r="L1060" s="261">
        <f t="shared" si="146"/>
        <v>0</v>
      </c>
      <c r="M1060" s="14"/>
    </row>
    <row r="1061" spans="1:13" ht="61.5" customHeight="1" x14ac:dyDescent="0.3">
      <c r="A1061" s="69"/>
      <c r="B1061" s="8"/>
      <c r="C1061" s="82" t="s">
        <v>1022</v>
      </c>
      <c r="D1061" s="280" t="s">
        <v>92</v>
      </c>
      <c r="E1061" s="27" t="s">
        <v>35</v>
      </c>
      <c r="F1061" s="98">
        <v>1</v>
      </c>
      <c r="G1061" s="29">
        <v>21300</v>
      </c>
      <c r="H1061" s="50">
        <v>1</v>
      </c>
      <c r="I1061" s="51">
        <v>1</v>
      </c>
      <c r="J1061" s="223">
        <f t="shared" si="147"/>
        <v>21000</v>
      </c>
      <c r="K1061" s="32">
        <f t="shared" si="148"/>
        <v>21000</v>
      </c>
      <c r="L1061" s="261">
        <f t="shared" si="146"/>
        <v>0</v>
      </c>
      <c r="M1061" s="14"/>
    </row>
    <row r="1062" spans="1:13" ht="61.5" customHeight="1" x14ac:dyDescent="0.3">
      <c r="A1062" s="69"/>
      <c r="B1062" s="8"/>
      <c r="C1062" s="82" t="s">
        <v>1023</v>
      </c>
      <c r="D1062" s="284" t="s">
        <v>880</v>
      </c>
      <c r="E1062" s="27" t="s">
        <v>35</v>
      </c>
      <c r="F1062" s="72">
        <v>2</v>
      </c>
      <c r="G1062" s="29">
        <v>154440</v>
      </c>
      <c r="H1062" s="50">
        <v>1</v>
      </c>
      <c r="I1062" s="51">
        <v>1</v>
      </c>
      <c r="J1062" s="223">
        <f t="shared" si="147"/>
        <v>309000</v>
      </c>
      <c r="K1062" s="32">
        <f t="shared" si="148"/>
        <v>309000</v>
      </c>
      <c r="L1062" s="261">
        <f t="shared" si="146"/>
        <v>0</v>
      </c>
      <c r="M1062" s="14"/>
    </row>
    <row r="1063" spans="1:13" ht="61.5" customHeight="1" x14ac:dyDescent="0.3">
      <c r="A1063" s="69"/>
      <c r="B1063" s="8"/>
      <c r="C1063" s="82" t="s">
        <v>992</v>
      </c>
      <c r="D1063" s="267" t="s">
        <v>36</v>
      </c>
      <c r="E1063" s="27" t="s">
        <v>35</v>
      </c>
      <c r="F1063" s="98">
        <v>6</v>
      </c>
      <c r="G1063" s="49">
        <v>213020</v>
      </c>
      <c r="H1063" s="52">
        <v>1</v>
      </c>
      <c r="I1063" s="53">
        <v>1</v>
      </c>
      <c r="J1063" s="223">
        <f t="shared" si="147"/>
        <v>1278000</v>
      </c>
      <c r="K1063" s="32">
        <f t="shared" si="148"/>
        <v>1278000</v>
      </c>
      <c r="L1063" s="261">
        <f t="shared" si="146"/>
        <v>0</v>
      </c>
      <c r="M1063" s="14"/>
    </row>
    <row r="1064" spans="1:13" ht="61.5" customHeight="1" x14ac:dyDescent="0.3">
      <c r="A1064" s="69"/>
      <c r="B1064" s="8"/>
      <c r="C1064" s="82" t="s">
        <v>1024</v>
      </c>
      <c r="D1064" s="276" t="s">
        <v>41</v>
      </c>
      <c r="E1064" s="59" t="s">
        <v>42</v>
      </c>
      <c r="F1064" s="98">
        <v>8</v>
      </c>
      <c r="G1064" s="11">
        <v>31950</v>
      </c>
      <c r="H1064" s="60">
        <v>1</v>
      </c>
      <c r="I1064" s="61">
        <v>1</v>
      </c>
      <c r="J1064" s="223">
        <f t="shared" si="147"/>
        <v>256000</v>
      </c>
      <c r="K1064" s="32">
        <f t="shared" si="148"/>
        <v>256000</v>
      </c>
      <c r="L1064" s="261">
        <f t="shared" si="146"/>
        <v>0</v>
      </c>
      <c r="M1064" s="14"/>
    </row>
    <row r="1065" spans="1:13" ht="61.5" customHeight="1" x14ac:dyDescent="0.3">
      <c r="A1065" s="69"/>
      <c r="B1065" s="8"/>
      <c r="C1065" s="82" t="s">
        <v>1025</v>
      </c>
      <c r="D1065" s="276" t="s">
        <v>41</v>
      </c>
      <c r="E1065" s="59" t="s">
        <v>42</v>
      </c>
      <c r="F1065" s="98">
        <v>29</v>
      </c>
      <c r="G1065" s="11">
        <v>10650</v>
      </c>
      <c r="H1065" s="60">
        <v>1</v>
      </c>
      <c r="I1065" s="61">
        <v>1</v>
      </c>
      <c r="J1065" s="223">
        <f t="shared" si="147"/>
        <v>309000</v>
      </c>
      <c r="K1065" s="32">
        <f t="shared" si="148"/>
        <v>309000</v>
      </c>
      <c r="L1065" s="261">
        <f t="shared" si="146"/>
        <v>0</v>
      </c>
      <c r="M1065" s="14"/>
    </row>
    <row r="1066" spans="1:13" ht="61.5" customHeight="1" x14ac:dyDescent="0.3">
      <c r="A1066" s="69"/>
      <c r="B1066" s="8"/>
      <c r="C1066" s="82" t="s">
        <v>1026</v>
      </c>
      <c r="D1066" s="279" t="s">
        <v>825</v>
      </c>
      <c r="E1066" s="71" t="s">
        <v>35</v>
      </c>
      <c r="F1066" s="98">
        <v>2</v>
      </c>
      <c r="G1066" s="29">
        <v>106510</v>
      </c>
      <c r="H1066" s="37">
        <v>1</v>
      </c>
      <c r="I1066" s="201">
        <v>1</v>
      </c>
      <c r="J1066" s="223">
        <f t="shared" si="147"/>
        <v>213000</v>
      </c>
      <c r="K1066" s="32">
        <f t="shared" si="148"/>
        <v>213000</v>
      </c>
      <c r="L1066" s="261">
        <f t="shared" si="146"/>
        <v>0</v>
      </c>
      <c r="M1066" s="14"/>
    </row>
    <row r="1067" spans="1:13" ht="61.5" customHeight="1" x14ac:dyDescent="0.3">
      <c r="A1067" s="69"/>
      <c r="B1067" s="8"/>
      <c r="C1067" s="82" t="s">
        <v>259</v>
      </c>
      <c r="D1067" s="271" t="s">
        <v>109</v>
      </c>
      <c r="E1067" s="27" t="s">
        <v>35</v>
      </c>
      <c r="F1067" s="77">
        <v>5</v>
      </c>
      <c r="G1067" s="11">
        <v>3200</v>
      </c>
      <c r="H1067" s="50">
        <v>1</v>
      </c>
      <c r="I1067" s="51">
        <v>1</v>
      </c>
      <c r="J1067" s="223">
        <f t="shared" si="147"/>
        <v>16000</v>
      </c>
      <c r="K1067" s="32">
        <f t="shared" si="148"/>
        <v>16000</v>
      </c>
      <c r="L1067" s="261">
        <f t="shared" si="146"/>
        <v>0</v>
      </c>
      <c r="M1067" s="14"/>
    </row>
    <row r="1068" spans="1:13" ht="61.5" customHeight="1" x14ac:dyDescent="0.3">
      <c r="A1068" s="69"/>
      <c r="B1068" s="8"/>
      <c r="C1068" s="82" t="s">
        <v>1029</v>
      </c>
      <c r="D1068" s="267" t="s">
        <v>24</v>
      </c>
      <c r="E1068" s="8" t="s">
        <v>25</v>
      </c>
      <c r="F1068" s="72">
        <f>2*2.1*0.15</f>
        <v>0.63</v>
      </c>
      <c r="G1068" s="29">
        <v>2828000</v>
      </c>
      <c r="H1068" s="45">
        <v>0.8</v>
      </c>
      <c r="I1068" s="31">
        <v>1.1479999999999999</v>
      </c>
      <c r="J1068" s="223">
        <f t="shared" si="147"/>
        <v>1636000</v>
      </c>
      <c r="K1068" s="32">
        <f t="shared" si="148"/>
        <v>1636000</v>
      </c>
      <c r="L1068" s="261">
        <f t="shared" si="146"/>
        <v>0</v>
      </c>
      <c r="M1068" s="14"/>
    </row>
    <row r="1069" spans="1:13" ht="61.5" customHeight="1" x14ac:dyDescent="0.3">
      <c r="A1069" s="69"/>
      <c r="B1069" s="8"/>
      <c r="C1069" s="82" t="s">
        <v>1027</v>
      </c>
      <c r="D1069" s="272" t="s">
        <v>33</v>
      </c>
      <c r="E1069" s="27" t="s">
        <v>23</v>
      </c>
      <c r="F1069" s="72">
        <f>2.9*2.1</f>
        <v>6.09</v>
      </c>
      <c r="G1069" s="29">
        <v>453000</v>
      </c>
      <c r="H1069" s="45">
        <v>0.8</v>
      </c>
      <c r="I1069" s="31">
        <v>1.1479999999999999</v>
      </c>
      <c r="J1069" s="223">
        <f t="shared" si="147"/>
        <v>2534000</v>
      </c>
      <c r="K1069" s="32">
        <f t="shared" si="148"/>
        <v>2534000</v>
      </c>
      <c r="L1069" s="261">
        <f t="shared" si="146"/>
        <v>0</v>
      </c>
      <c r="M1069" s="14"/>
    </row>
    <row r="1070" spans="1:13" ht="61.5" customHeight="1" x14ac:dyDescent="0.3">
      <c r="A1070" s="69"/>
      <c r="B1070" s="8"/>
      <c r="C1070" s="82" t="s">
        <v>72</v>
      </c>
      <c r="D1070" s="271" t="s">
        <v>44</v>
      </c>
      <c r="E1070" s="63" t="s">
        <v>45</v>
      </c>
      <c r="F1070" s="72">
        <v>5</v>
      </c>
      <c r="G1070" s="46">
        <v>28000</v>
      </c>
      <c r="H1070" s="45">
        <v>0.8</v>
      </c>
      <c r="I1070" s="31">
        <v>1.1479999999999999</v>
      </c>
      <c r="J1070" s="223">
        <f t="shared" si="147"/>
        <v>129000</v>
      </c>
      <c r="K1070" s="32">
        <f t="shared" si="148"/>
        <v>129000</v>
      </c>
      <c r="L1070" s="261">
        <f t="shared" si="146"/>
        <v>0</v>
      </c>
      <c r="M1070" s="14"/>
    </row>
    <row r="1071" spans="1:13" ht="61.5" customHeight="1" x14ac:dyDescent="0.3">
      <c r="A1071" s="69"/>
      <c r="B1071" s="8"/>
      <c r="C1071" s="82" t="s">
        <v>82</v>
      </c>
      <c r="D1071" s="271" t="s">
        <v>47</v>
      </c>
      <c r="E1071" s="63" t="s">
        <v>45</v>
      </c>
      <c r="F1071" s="77">
        <v>5</v>
      </c>
      <c r="G1071" s="46">
        <v>28000</v>
      </c>
      <c r="H1071" s="45">
        <v>0.8</v>
      </c>
      <c r="I1071" s="31">
        <v>1.1479999999999999</v>
      </c>
      <c r="J1071" s="223">
        <f t="shared" si="147"/>
        <v>129000</v>
      </c>
      <c r="K1071" s="32">
        <f t="shared" si="148"/>
        <v>129000</v>
      </c>
      <c r="L1071" s="261">
        <f t="shared" si="146"/>
        <v>0</v>
      </c>
      <c r="M1071" s="14"/>
    </row>
    <row r="1072" spans="1:13" s="289" customFormat="1" ht="61.5" customHeight="1" x14ac:dyDescent="0.3">
      <c r="A1072" s="149">
        <v>79</v>
      </c>
      <c r="B1072" s="150" t="s">
        <v>1038</v>
      </c>
      <c r="C1072" s="461" t="s">
        <v>1388</v>
      </c>
      <c r="D1072" s="462"/>
      <c r="E1072" s="462"/>
      <c r="F1072" s="462"/>
      <c r="G1072" s="462"/>
      <c r="H1072" s="462"/>
      <c r="I1072" s="463"/>
      <c r="J1072" s="221">
        <f>SUM(J1073:J1089)</f>
        <v>1695109000</v>
      </c>
      <c r="K1072" s="32">
        <f t="shared" si="148"/>
        <v>0</v>
      </c>
      <c r="L1072" s="261">
        <f>J1072-K1072</f>
        <v>1695109000</v>
      </c>
      <c r="M1072" s="24"/>
    </row>
    <row r="1073" spans="1:256" s="290" customFormat="1" ht="70.5" customHeight="1" x14ac:dyDescent="0.3">
      <c r="A1073" s="211"/>
      <c r="B1073" s="17"/>
      <c r="C1073" s="25" t="s">
        <v>1389</v>
      </c>
      <c r="D1073" s="267" t="s">
        <v>112</v>
      </c>
      <c r="E1073" s="27" t="s">
        <v>23</v>
      </c>
      <c r="F1073" s="35">
        <v>145.5</v>
      </c>
      <c r="G1073" s="49">
        <v>8700000</v>
      </c>
      <c r="H1073" s="286">
        <v>0.495</v>
      </c>
      <c r="I1073" s="268">
        <v>1.4</v>
      </c>
      <c r="J1073" s="32">
        <f>ROUND(F1073*G1073*H1073*I1073,-3)</f>
        <v>877234000</v>
      </c>
      <c r="K1073" s="39">
        <f>ROUND(F1073*G1073*H1073*I1073,-3)</f>
        <v>877234000</v>
      </c>
      <c r="L1073" s="262">
        <f t="shared" ref="L1073:L1074" si="149">J1073-K1073</f>
        <v>0</v>
      </c>
      <c r="M1073" s="14"/>
      <c r="N1073" s="14"/>
      <c r="O1073" s="14"/>
      <c r="P1073" s="14"/>
      <c r="Q1073" s="14"/>
      <c r="R1073" s="14"/>
      <c r="S1073" s="14"/>
      <c r="T1073" s="14"/>
      <c r="U1073" s="14"/>
      <c r="V1073" s="14"/>
      <c r="W1073" s="14"/>
      <c r="X1073" s="14"/>
      <c r="Y1073" s="14"/>
      <c r="Z1073" s="14"/>
      <c r="AA1073" s="14"/>
      <c r="AB1073" s="14"/>
      <c r="AC1073" s="14"/>
      <c r="AD1073" s="14"/>
      <c r="AE1073" s="14"/>
      <c r="AF1073" s="14"/>
      <c r="AG1073" s="14"/>
      <c r="AH1073" s="14"/>
      <c r="AI1073" s="14"/>
      <c r="AJ1073" s="14"/>
      <c r="AK1073" s="14"/>
      <c r="AL1073" s="14"/>
      <c r="AM1073" s="14"/>
      <c r="AN1073" s="14"/>
      <c r="AO1073" s="14"/>
      <c r="AP1073" s="14"/>
      <c r="AQ1073" s="14"/>
      <c r="AR1073" s="14"/>
      <c r="AS1073" s="14"/>
      <c r="AT1073" s="14"/>
      <c r="AU1073" s="14"/>
      <c r="AV1073" s="14"/>
      <c r="AW1073" s="14"/>
      <c r="AX1073" s="14"/>
      <c r="AY1073" s="14"/>
      <c r="AZ1073" s="14"/>
      <c r="BA1073" s="14"/>
      <c r="BB1073" s="14"/>
      <c r="BC1073" s="14"/>
      <c r="BD1073" s="14"/>
      <c r="BE1073" s="14"/>
      <c r="BF1073" s="14"/>
      <c r="BG1073" s="14"/>
      <c r="BH1073" s="14"/>
      <c r="BI1073" s="14"/>
      <c r="BJ1073" s="14"/>
      <c r="BK1073" s="14"/>
      <c r="BL1073" s="14"/>
      <c r="BM1073" s="14"/>
      <c r="BN1073" s="14"/>
      <c r="BO1073" s="14"/>
      <c r="BP1073" s="14"/>
      <c r="BQ1073" s="14"/>
      <c r="BR1073" s="14"/>
      <c r="BS1073" s="14"/>
      <c r="BT1073" s="14"/>
      <c r="BU1073" s="14"/>
      <c r="BV1073" s="14"/>
      <c r="BW1073" s="14"/>
      <c r="BX1073" s="14"/>
      <c r="BY1073" s="14"/>
      <c r="BZ1073" s="14"/>
      <c r="CA1073" s="14"/>
      <c r="CB1073" s="14"/>
      <c r="CC1073" s="14"/>
      <c r="CD1073" s="14"/>
      <c r="CE1073" s="14"/>
      <c r="CF1073" s="14"/>
      <c r="CG1073" s="14"/>
      <c r="CH1073" s="14"/>
      <c r="CI1073" s="14"/>
      <c r="CJ1073" s="14"/>
      <c r="CK1073" s="14"/>
      <c r="CL1073" s="14"/>
      <c r="CM1073" s="14"/>
      <c r="CN1073" s="14"/>
      <c r="CO1073" s="14"/>
      <c r="CP1073" s="14"/>
      <c r="CQ1073" s="14"/>
      <c r="CR1073" s="14"/>
      <c r="CS1073" s="14"/>
      <c r="CT1073" s="14"/>
      <c r="CU1073" s="14"/>
      <c r="CV1073" s="14"/>
      <c r="CW1073" s="14"/>
      <c r="CX1073" s="14"/>
      <c r="CY1073" s="14"/>
      <c r="CZ1073" s="14"/>
      <c r="DA1073" s="14"/>
      <c r="DB1073" s="14"/>
      <c r="DC1073" s="14"/>
      <c r="DD1073" s="14"/>
      <c r="DE1073" s="14"/>
      <c r="DF1073" s="14"/>
      <c r="DG1073" s="14"/>
      <c r="DH1073" s="14"/>
      <c r="DI1073" s="14"/>
      <c r="DJ1073" s="14"/>
      <c r="DK1073" s="14"/>
      <c r="DL1073" s="14"/>
      <c r="DM1073" s="14"/>
      <c r="DN1073" s="14"/>
      <c r="DO1073" s="14"/>
      <c r="DP1073" s="14"/>
      <c r="DQ1073" s="14"/>
      <c r="DR1073" s="14"/>
      <c r="DS1073" s="14"/>
      <c r="DT1073" s="14"/>
      <c r="DU1073" s="14"/>
      <c r="DV1073" s="14"/>
      <c r="DW1073" s="14"/>
      <c r="DX1073" s="14"/>
      <c r="DY1073" s="14"/>
      <c r="DZ1073" s="14"/>
      <c r="EA1073" s="14"/>
      <c r="EB1073" s="14"/>
      <c r="EC1073" s="14"/>
      <c r="ED1073" s="14"/>
      <c r="EE1073" s="14"/>
      <c r="EF1073" s="14"/>
      <c r="EG1073" s="14"/>
      <c r="EH1073" s="14"/>
      <c r="EI1073" s="14"/>
      <c r="EJ1073" s="14"/>
      <c r="EK1073" s="14"/>
      <c r="EL1073" s="14"/>
      <c r="EM1073" s="14"/>
      <c r="EN1073" s="14"/>
      <c r="EO1073" s="14"/>
      <c r="EP1073" s="14"/>
      <c r="EQ1073" s="14"/>
      <c r="ER1073" s="14"/>
      <c r="ES1073" s="14"/>
      <c r="ET1073" s="14"/>
      <c r="EU1073" s="14"/>
      <c r="EV1073" s="14"/>
      <c r="EW1073" s="14"/>
      <c r="EX1073" s="14"/>
      <c r="EY1073" s="14"/>
      <c r="EZ1073" s="14"/>
      <c r="FA1073" s="14"/>
      <c r="FB1073" s="14"/>
      <c r="FC1073" s="14"/>
      <c r="FD1073" s="14"/>
      <c r="FE1073" s="14"/>
      <c r="FF1073" s="14"/>
      <c r="FG1073" s="14"/>
      <c r="FH1073" s="14"/>
      <c r="FI1073" s="14"/>
      <c r="FJ1073" s="14"/>
      <c r="FK1073" s="14"/>
      <c r="FL1073" s="14"/>
      <c r="FM1073" s="14"/>
      <c r="FN1073" s="14"/>
      <c r="FO1073" s="14"/>
      <c r="FP1073" s="14"/>
      <c r="FQ1073" s="14"/>
      <c r="FR1073" s="14"/>
      <c r="FS1073" s="14"/>
      <c r="FT1073" s="14"/>
      <c r="FU1073" s="14"/>
      <c r="FV1073" s="14"/>
      <c r="FW1073" s="14"/>
      <c r="FX1073" s="14"/>
      <c r="FY1073" s="14"/>
      <c r="FZ1073" s="14"/>
      <c r="GA1073" s="14"/>
      <c r="GB1073" s="14"/>
      <c r="GC1073" s="14"/>
      <c r="GD1073" s="14"/>
      <c r="GE1073" s="14"/>
      <c r="GF1073" s="14"/>
      <c r="GG1073" s="14"/>
      <c r="GH1073" s="14"/>
      <c r="GI1073" s="14"/>
      <c r="GJ1073" s="14"/>
      <c r="GK1073" s="14"/>
      <c r="GL1073" s="14"/>
      <c r="GM1073" s="14"/>
      <c r="GN1073" s="14"/>
      <c r="GO1073" s="14"/>
      <c r="GP1073" s="14"/>
      <c r="GQ1073" s="14"/>
      <c r="GR1073" s="14"/>
      <c r="GS1073" s="14"/>
      <c r="GT1073" s="14"/>
      <c r="GU1073" s="14"/>
      <c r="GV1073" s="14"/>
      <c r="GW1073" s="14"/>
      <c r="GX1073" s="14"/>
      <c r="GY1073" s="14"/>
      <c r="GZ1073" s="14"/>
      <c r="HA1073" s="14"/>
      <c r="HB1073" s="14"/>
      <c r="HC1073" s="14"/>
      <c r="HD1073" s="14"/>
      <c r="HE1073" s="14"/>
      <c r="HF1073" s="14"/>
      <c r="HG1073" s="14"/>
      <c r="HH1073" s="14"/>
      <c r="HI1073" s="14"/>
      <c r="HJ1073" s="14"/>
      <c r="HK1073" s="14"/>
      <c r="HL1073" s="14"/>
      <c r="HM1073" s="14"/>
      <c r="HN1073" s="14"/>
      <c r="HO1073" s="14"/>
      <c r="HP1073" s="14"/>
      <c r="HQ1073" s="14"/>
      <c r="HR1073" s="14"/>
      <c r="HS1073" s="14"/>
      <c r="HT1073" s="14"/>
      <c r="HU1073" s="14"/>
      <c r="HV1073" s="14"/>
      <c r="HW1073" s="14"/>
      <c r="HX1073" s="14"/>
      <c r="HY1073" s="14"/>
      <c r="HZ1073" s="14"/>
      <c r="IA1073" s="14"/>
      <c r="IB1073" s="14"/>
      <c r="IC1073" s="14"/>
      <c r="ID1073" s="14"/>
      <c r="IE1073" s="14"/>
      <c r="IF1073" s="14"/>
      <c r="IG1073" s="14"/>
      <c r="IH1073" s="14"/>
      <c r="II1073" s="14"/>
      <c r="IJ1073" s="14"/>
      <c r="IK1073" s="14"/>
      <c r="IL1073" s="14"/>
      <c r="IM1073" s="14"/>
      <c r="IN1073" s="14"/>
      <c r="IO1073" s="14"/>
      <c r="IP1073" s="14"/>
      <c r="IQ1073" s="14"/>
      <c r="IR1073" s="14"/>
      <c r="IS1073" s="14"/>
      <c r="IT1073" s="14"/>
      <c r="IU1073" s="14"/>
      <c r="IV1073" s="14"/>
    </row>
    <row r="1074" spans="1:256" s="289" customFormat="1" ht="90" customHeight="1" x14ac:dyDescent="0.25">
      <c r="A1074" s="67"/>
      <c r="B1074" s="68"/>
      <c r="C1074" s="25" t="s">
        <v>1062</v>
      </c>
      <c r="D1074" s="267" t="s">
        <v>112</v>
      </c>
      <c r="E1074" s="27" t="s">
        <v>23</v>
      </c>
      <c r="F1074" s="35">
        <v>36.799999999999997</v>
      </c>
      <c r="G1074" s="464" t="s">
        <v>1390</v>
      </c>
      <c r="H1074" s="464"/>
      <c r="I1074" s="465"/>
      <c r="J1074" s="227"/>
      <c r="K1074" s="32"/>
      <c r="L1074" s="261">
        <f t="shared" si="149"/>
        <v>0</v>
      </c>
      <c r="M1074" s="251"/>
    </row>
    <row r="1075" spans="1:256" s="289" customFormat="1" ht="87" customHeight="1" x14ac:dyDescent="0.3">
      <c r="A1075" s="108"/>
      <c r="B1075" s="109"/>
      <c r="C1075" s="20" t="s">
        <v>265</v>
      </c>
      <c r="D1075" s="81" t="s">
        <v>63</v>
      </c>
      <c r="E1075" s="27" t="s">
        <v>23</v>
      </c>
      <c r="F1075" s="187">
        <f>6.55*8.3+3.85*8.2+3.95*8.8</f>
        <v>120.69500000000001</v>
      </c>
      <c r="G1075" s="100">
        <f>2975000</f>
        <v>2975000</v>
      </c>
      <c r="H1075" s="101">
        <v>1</v>
      </c>
      <c r="I1075" s="102">
        <v>1.1479999999999999</v>
      </c>
      <c r="J1075" s="222">
        <f t="shared" ref="J1075:J1089" si="150">ROUND(F1075*G1075*H1075*I1075,-3)</f>
        <v>412210000</v>
      </c>
      <c r="K1075" s="32">
        <f t="shared" si="148"/>
        <v>412210000</v>
      </c>
      <c r="L1075" s="261"/>
      <c r="M1075" s="24"/>
    </row>
    <row r="1076" spans="1:256" s="289" customFormat="1" ht="72" customHeight="1" x14ac:dyDescent="0.3">
      <c r="A1076" s="93"/>
      <c r="B1076" s="94"/>
      <c r="C1076" s="70" t="s">
        <v>266</v>
      </c>
      <c r="D1076" s="81" t="s">
        <v>63</v>
      </c>
      <c r="E1076" s="27" t="s">
        <v>23</v>
      </c>
      <c r="F1076" s="99">
        <f>4.2*8.75+4.8*8.75</f>
        <v>78.75</v>
      </c>
      <c r="G1076" s="100">
        <f>2975000-99000</f>
        <v>2876000</v>
      </c>
      <c r="H1076" s="101">
        <v>1</v>
      </c>
      <c r="I1076" s="102">
        <v>1.1479999999999999</v>
      </c>
      <c r="J1076" s="222">
        <f t="shared" si="150"/>
        <v>260005000</v>
      </c>
      <c r="K1076" s="32">
        <f t="shared" si="148"/>
        <v>260005000</v>
      </c>
      <c r="L1076" s="261">
        <f t="shared" ref="L1076:L1089" si="151">J1076-K1076</f>
        <v>0</v>
      </c>
      <c r="M1076" s="24"/>
    </row>
    <row r="1077" spans="1:256" s="289" customFormat="1" ht="61.5" customHeight="1" x14ac:dyDescent="0.3">
      <c r="A1077" s="69"/>
      <c r="B1077" s="8"/>
      <c r="C1077" s="82" t="s">
        <v>267</v>
      </c>
      <c r="D1077" s="42" t="s">
        <v>225</v>
      </c>
      <c r="E1077" s="96" t="s">
        <v>91</v>
      </c>
      <c r="F1077" s="72">
        <f>3.55*6.45+2.6*3.75</f>
        <v>32.647500000000001</v>
      </c>
      <c r="G1077" s="29">
        <v>527000</v>
      </c>
      <c r="H1077" s="50">
        <v>1</v>
      </c>
      <c r="I1077" s="151">
        <v>1.1479999999999999</v>
      </c>
      <c r="J1077" s="223">
        <f t="shared" si="150"/>
        <v>19752000</v>
      </c>
      <c r="K1077" s="32">
        <f t="shared" si="148"/>
        <v>19752000</v>
      </c>
      <c r="L1077" s="262">
        <f t="shared" si="151"/>
        <v>0</v>
      </c>
      <c r="M1077" s="14"/>
    </row>
    <row r="1078" spans="1:256" s="289" customFormat="1" ht="61.5" customHeight="1" x14ac:dyDescent="0.3">
      <c r="A1078" s="69"/>
      <c r="B1078" s="8"/>
      <c r="C1078" s="82" t="s">
        <v>268</v>
      </c>
      <c r="D1078" s="42" t="s">
        <v>54</v>
      </c>
      <c r="E1078" s="27" t="s">
        <v>23</v>
      </c>
      <c r="F1078" s="72">
        <f>6.35*8.5+8.1*3.6</f>
        <v>83.134999999999991</v>
      </c>
      <c r="G1078" s="46">
        <v>213000</v>
      </c>
      <c r="H1078" s="37">
        <v>1</v>
      </c>
      <c r="I1078" s="79">
        <v>1.1479999999999999</v>
      </c>
      <c r="J1078" s="223">
        <f t="shared" si="150"/>
        <v>20329000</v>
      </c>
      <c r="K1078" s="32">
        <f t="shared" si="148"/>
        <v>20329000</v>
      </c>
      <c r="L1078" s="261">
        <f t="shared" si="151"/>
        <v>0</v>
      </c>
      <c r="M1078" s="14"/>
    </row>
    <row r="1079" spans="1:256" s="289" customFormat="1" ht="61.5" customHeight="1" x14ac:dyDescent="0.3">
      <c r="A1079" s="69"/>
      <c r="B1079" s="8"/>
      <c r="C1079" s="82" t="s">
        <v>269</v>
      </c>
      <c r="D1079" s="34" t="s">
        <v>52</v>
      </c>
      <c r="E1079" s="71" t="s">
        <v>23</v>
      </c>
      <c r="F1079" s="72">
        <f>7.9*3.65</f>
        <v>28.835000000000001</v>
      </c>
      <c r="G1079" s="11" t="s">
        <v>53</v>
      </c>
      <c r="H1079" s="37">
        <v>1</v>
      </c>
      <c r="I1079" s="31">
        <v>1.1479999999999999</v>
      </c>
      <c r="J1079" s="223">
        <f t="shared" si="150"/>
        <v>7812000</v>
      </c>
      <c r="K1079" s="32">
        <f t="shared" si="148"/>
        <v>7812000</v>
      </c>
      <c r="L1079" s="261">
        <f t="shared" si="151"/>
        <v>0</v>
      </c>
      <c r="M1079" s="14"/>
    </row>
    <row r="1080" spans="1:256" s="289" customFormat="1" ht="61.5" customHeight="1" x14ac:dyDescent="0.3">
      <c r="A1080" s="69"/>
      <c r="B1080" s="8"/>
      <c r="C1080" s="82" t="s">
        <v>856</v>
      </c>
      <c r="D1080" s="270" t="s">
        <v>51</v>
      </c>
      <c r="E1080" s="27" t="s">
        <v>23</v>
      </c>
      <c r="F1080" s="72">
        <f>2.7*23.45</f>
        <v>63.315000000000005</v>
      </c>
      <c r="G1080" s="29">
        <v>453000</v>
      </c>
      <c r="H1080" s="37">
        <v>1</v>
      </c>
      <c r="I1080" s="31">
        <v>1.1479999999999999</v>
      </c>
      <c r="J1080" s="223">
        <f t="shared" si="150"/>
        <v>32927000</v>
      </c>
      <c r="K1080" s="32">
        <f t="shared" si="148"/>
        <v>32927000</v>
      </c>
      <c r="L1080" s="261">
        <f t="shared" si="151"/>
        <v>0</v>
      </c>
      <c r="M1080" s="14"/>
    </row>
    <row r="1081" spans="1:256" s="289" customFormat="1" ht="61.5" customHeight="1" x14ac:dyDescent="0.3">
      <c r="A1081" s="69"/>
      <c r="B1081" s="8"/>
      <c r="C1081" s="82" t="s">
        <v>270</v>
      </c>
      <c r="D1081" s="34" t="s">
        <v>31</v>
      </c>
      <c r="E1081" s="27" t="s">
        <v>23</v>
      </c>
      <c r="F1081" s="75">
        <f>7*6.4</f>
        <v>44.800000000000004</v>
      </c>
      <c r="G1081" s="29">
        <v>339000</v>
      </c>
      <c r="H1081" s="37">
        <v>1</v>
      </c>
      <c r="I1081" s="31">
        <v>1.1479999999999999</v>
      </c>
      <c r="J1081" s="223">
        <f t="shared" si="150"/>
        <v>17435000</v>
      </c>
      <c r="K1081" s="32">
        <f t="shared" si="148"/>
        <v>17435000</v>
      </c>
      <c r="L1081" s="261">
        <f t="shared" si="151"/>
        <v>0</v>
      </c>
      <c r="M1081" s="14"/>
    </row>
    <row r="1082" spans="1:256" s="289" customFormat="1" ht="61.5" customHeight="1" x14ac:dyDescent="0.3">
      <c r="A1082" s="69"/>
      <c r="B1082" s="8"/>
      <c r="C1082" s="82" t="s">
        <v>271</v>
      </c>
      <c r="D1082" s="42" t="s">
        <v>32</v>
      </c>
      <c r="E1082" s="27" t="s">
        <v>23</v>
      </c>
      <c r="F1082" s="72">
        <f>7*17</f>
        <v>119</v>
      </c>
      <c r="G1082" s="29">
        <v>215000</v>
      </c>
      <c r="H1082" s="43">
        <v>1</v>
      </c>
      <c r="I1082" s="31">
        <v>1.1479999999999999</v>
      </c>
      <c r="J1082" s="223">
        <f t="shared" si="150"/>
        <v>29372000</v>
      </c>
      <c r="K1082" s="32">
        <f t="shared" si="148"/>
        <v>29372000</v>
      </c>
      <c r="L1082" s="261">
        <f t="shared" si="151"/>
        <v>0</v>
      </c>
      <c r="M1082" s="14"/>
    </row>
    <row r="1083" spans="1:256" s="289" customFormat="1" ht="61.5" customHeight="1" x14ac:dyDescent="0.3">
      <c r="A1083" s="69"/>
      <c r="B1083" s="8"/>
      <c r="C1083" s="82" t="s">
        <v>272</v>
      </c>
      <c r="D1083" s="270" t="s">
        <v>55</v>
      </c>
      <c r="E1083" s="27" t="s">
        <v>23</v>
      </c>
      <c r="F1083" s="72">
        <f>0.6*0.8+0.85*1.2</f>
        <v>1.5</v>
      </c>
      <c r="G1083" s="29">
        <v>905000</v>
      </c>
      <c r="H1083" s="45">
        <v>0.8</v>
      </c>
      <c r="I1083" s="79">
        <v>1.1479999999999999</v>
      </c>
      <c r="J1083" s="223">
        <f t="shared" si="150"/>
        <v>1247000</v>
      </c>
      <c r="K1083" s="32">
        <f t="shared" si="148"/>
        <v>1247000</v>
      </c>
      <c r="L1083" s="261">
        <f t="shared" si="151"/>
        <v>0</v>
      </c>
      <c r="M1083" s="14"/>
    </row>
    <row r="1084" spans="1:256" s="289" customFormat="1" ht="61.5" customHeight="1" x14ac:dyDescent="0.3">
      <c r="A1084" s="69"/>
      <c r="B1084" s="8"/>
      <c r="C1084" s="82" t="s">
        <v>273</v>
      </c>
      <c r="D1084" s="34" t="s">
        <v>52</v>
      </c>
      <c r="E1084" s="27" t="s">
        <v>23</v>
      </c>
      <c r="F1084" s="72">
        <f>6*1.2+(4*1.2)*2+1*3</f>
        <v>19.799999999999997</v>
      </c>
      <c r="G1084" s="11" t="s">
        <v>53</v>
      </c>
      <c r="H1084" s="37">
        <v>1</v>
      </c>
      <c r="I1084" s="79">
        <v>1.1479999999999999</v>
      </c>
      <c r="J1084" s="223">
        <f t="shared" si="150"/>
        <v>5364000</v>
      </c>
      <c r="K1084" s="32">
        <f t="shared" si="148"/>
        <v>5364000</v>
      </c>
      <c r="L1084" s="261">
        <f t="shared" si="151"/>
        <v>0</v>
      </c>
      <c r="M1084" s="14"/>
    </row>
    <row r="1085" spans="1:256" s="289" customFormat="1" ht="61.5" customHeight="1" x14ac:dyDescent="0.3">
      <c r="A1085" s="69"/>
      <c r="B1085" s="8"/>
      <c r="C1085" s="82" t="s">
        <v>274</v>
      </c>
      <c r="D1085" s="42" t="s">
        <v>225</v>
      </c>
      <c r="E1085" s="96" t="s">
        <v>91</v>
      </c>
      <c r="F1085" s="72">
        <f>5.75*0.7</f>
        <v>4.0249999999999995</v>
      </c>
      <c r="G1085" s="29">
        <v>527000</v>
      </c>
      <c r="H1085" s="50">
        <v>1</v>
      </c>
      <c r="I1085" s="151">
        <v>1.1479999999999999</v>
      </c>
      <c r="J1085" s="223">
        <f t="shared" si="150"/>
        <v>2435000</v>
      </c>
      <c r="K1085" s="32">
        <f t="shared" si="148"/>
        <v>2435000</v>
      </c>
      <c r="L1085" s="261">
        <f t="shared" si="151"/>
        <v>0</v>
      </c>
      <c r="M1085" s="14"/>
    </row>
    <row r="1086" spans="1:256" s="289" customFormat="1" ht="61.5" customHeight="1" x14ac:dyDescent="0.3">
      <c r="A1086" s="69"/>
      <c r="B1086" s="8"/>
      <c r="C1086" s="82" t="s">
        <v>275</v>
      </c>
      <c r="D1086" s="34" t="s">
        <v>52</v>
      </c>
      <c r="E1086" s="27" t="s">
        <v>23</v>
      </c>
      <c r="F1086" s="72">
        <f>4.3*0.8+4*0.6+(4*1.2)*3</f>
        <v>20.239999999999998</v>
      </c>
      <c r="G1086" s="11" t="s">
        <v>53</v>
      </c>
      <c r="H1086" s="37">
        <v>1</v>
      </c>
      <c r="I1086" s="79">
        <v>1.1479999999999999</v>
      </c>
      <c r="J1086" s="223">
        <f t="shared" si="150"/>
        <v>5484000</v>
      </c>
      <c r="K1086" s="32">
        <f t="shared" si="148"/>
        <v>5484000</v>
      </c>
      <c r="L1086" s="261">
        <f t="shared" si="151"/>
        <v>0</v>
      </c>
      <c r="M1086" s="14"/>
    </row>
    <row r="1087" spans="1:256" s="289" customFormat="1" ht="61.5" customHeight="1" x14ac:dyDescent="0.3">
      <c r="A1087" s="69"/>
      <c r="B1087" s="8"/>
      <c r="C1087" s="82" t="s">
        <v>276</v>
      </c>
      <c r="D1087" s="80" t="s">
        <v>58</v>
      </c>
      <c r="E1087" s="27" t="s">
        <v>35</v>
      </c>
      <c r="F1087" s="98">
        <v>3</v>
      </c>
      <c r="G1087" s="29">
        <v>1065100</v>
      </c>
      <c r="H1087" s="50">
        <v>1</v>
      </c>
      <c r="I1087" s="51">
        <v>1</v>
      </c>
      <c r="J1087" s="223">
        <f t="shared" si="150"/>
        <v>3195000</v>
      </c>
      <c r="K1087" s="32">
        <f t="shared" si="148"/>
        <v>3195000</v>
      </c>
      <c r="L1087" s="261">
        <f t="shared" si="151"/>
        <v>0</v>
      </c>
      <c r="M1087" s="14"/>
    </row>
    <row r="1088" spans="1:256" s="289" customFormat="1" ht="61.5" customHeight="1" x14ac:dyDescent="0.3">
      <c r="A1088" s="69"/>
      <c r="B1088" s="8"/>
      <c r="C1088" s="83" t="s">
        <v>43</v>
      </c>
      <c r="D1088" s="193" t="s">
        <v>874</v>
      </c>
      <c r="E1088" s="212" t="s">
        <v>929</v>
      </c>
      <c r="F1088" s="344">
        <v>6</v>
      </c>
      <c r="G1088" s="46">
        <v>28000</v>
      </c>
      <c r="H1088" s="45">
        <v>0.8</v>
      </c>
      <c r="I1088" s="31">
        <v>1.1479999999999999</v>
      </c>
      <c r="J1088" s="223">
        <f t="shared" si="150"/>
        <v>154000</v>
      </c>
      <c r="K1088" s="32">
        <f t="shared" si="148"/>
        <v>154000</v>
      </c>
      <c r="L1088" s="261">
        <f t="shared" si="151"/>
        <v>0</v>
      </c>
      <c r="M1088" s="14"/>
    </row>
    <row r="1089" spans="1:15" s="289" customFormat="1" ht="61.5" customHeight="1" x14ac:dyDescent="0.3">
      <c r="A1089" s="69"/>
      <c r="B1089" s="8"/>
      <c r="C1089" s="82" t="s">
        <v>46</v>
      </c>
      <c r="D1089" s="271" t="s">
        <v>47</v>
      </c>
      <c r="E1089" s="63" t="s">
        <v>45</v>
      </c>
      <c r="F1089" s="77">
        <v>6</v>
      </c>
      <c r="G1089" s="46">
        <v>28000</v>
      </c>
      <c r="H1089" s="45">
        <v>0.8</v>
      </c>
      <c r="I1089" s="31">
        <v>1.1479999999999999</v>
      </c>
      <c r="J1089" s="223">
        <f t="shared" si="150"/>
        <v>154000</v>
      </c>
      <c r="K1089" s="32">
        <f t="shared" si="148"/>
        <v>154000</v>
      </c>
      <c r="L1089" s="261">
        <f t="shared" si="151"/>
        <v>0</v>
      </c>
      <c r="M1089" s="14"/>
    </row>
    <row r="1090" spans="1:15" s="233" customFormat="1" ht="50.25" customHeight="1" x14ac:dyDescent="0.3">
      <c r="A1090" s="236"/>
      <c r="B1090" s="236"/>
      <c r="C1090" s="486" t="s">
        <v>1034</v>
      </c>
      <c r="D1090" s="487"/>
      <c r="E1090" s="487"/>
      <c r="F1090" s="487"/>
      <c r="G1090" s="487"/>
      <c r="H1090" s="487"/>
      <c r="I1090" s="488"/>
      <c r="J1090" s="322">
        <f>ROUND(SUM(J168:J1071)/2,-3)</f>
        <v>17327142000</v>
      </c>
      <c r="K1090" s="237">
        <f>SUM(K168:K1071)</f>
        <v>15350454000</v>
      </c>
      <c r="L1090" s="294"/>
      <c r="M1090" s="244"/>
      <c r="N1090" s="234"/>
      <c r="O1090" s="235"/>
    </row>
    <row r="1091" spans="1:15" ht="43.5" customHeight="1" x14ac:dyDescent="0.3">
      <c r="A1091" s="489" t="s">
        <v>1159</v>
      </c>
      <c r="B1091" s="490"/>
      <c r="C1091" s="490"/>
      <c r="D1091" s="490"/>
      <c r="E1091" s="490"/>
      <c r="F1091" s="490"/>
      <c r="G1091" s="490"/>
      <c r="H1091" s="490"/>
      <c r="I1091" s="490"/>
      <c r="J1091" s="491"/>
    </row>
    <row r="1093" spans="1:15" x14ac:dyDescent="0.3">
      <c r="J1093" s="238"/>
    </row>
  </sheetData>
  <autoFilter ref="A5:O1090"/>
  <mergeCells count="161">
    <mergeCell ref="G1074:I1074"/>
    <mergeCell ref="C658:I658"/>
    <mergeCell ref="G633:I633"/>
    <mergeCell ref="G644:I644"/>
    <mergeCell ref="C664:I664"/>
    <mergeCell ref="G666:I666"/>
    <mergeCell ref="C1072:I1072"/>
    <mergeCell ref="G581:I581"/>
    <mergeCell ref="C631:I631"/>
    <mergeCell ref="C642:I642"/>
    <mergeCell ref="C657:I657"/>
    <mergeCell ref="C966:I966"/>
    <mergeCell ref="C1006:I1006"/>
    <mergeCell ref="G1007:I1007"/>
    <mergeCell ref="C993:I993"/>
    <mergeCell ref="G898:I898"/>
    <mergeCell ref="C905:I905"/>
    <mergeCell ref="C775:I775"/>
    <mergeCell ref="G776:I776"/>
    <mergeCell ref="C959:I959"/>
    <mergeCell ref="C782:I782"/>
    <mergeCell ref="G783:I783"/>
    <mergeCell ref="C790:I790"/>
    <mergeCell ref="G791:I791"/>
    <mergeCell ref="C1090:I1090"/>
    <mergeCell ref="A1091:J1091"/>
    <mergeCell ref="G134:I134"/>
    <mergeCell ref="C132:I132"/>
    <mergeCell ref="C325:I325"/>
    <mergeCell ref="G327:I327"/>
    <mergeCell ref="C471:I471"/>
    <mergeCell ref="G473:I473"/>
    <mergeCell ref="C474:I474"/>
    <mergeCell ref="G364:I364"/>
    <mergeCell ref="C949:I949"/>
    <mergeCell ref="G950:I950"/>
    <mergeCell ref="G968:I968"/>
    <mergeCell ref="G939:I939"/>
    <mergeCell ref="G916:I916"/>
    <mergeCell ref="C475:I475"/>
    <mergeCell ref="C485:I485"/>
    <mergeCell ref="C486:I486"/>
    <mergeCell ref="C497:I497"/>
    <mergeCell ref="G906:I906"/>
    <mergeCell ref="C915:I915"/>
    <mergeCell ref="C1031:I1031"/>
    <mergeCell ref="G1032:I1032"/>
    <mergeCell ref="G960:I960"/>
    <mergeCell ref="C847:I847"/>
    <mergeCell ref="G848:I848"/>
    <mergeCell ref="C866:I866"/>
    <mergeCell ref="C690:I690"/>
    <mergeCell ref="G691:I691"/>
    <mergeCell ref="C698:I698"/>
    <mergeCell ref="G699:I699"/>
    <mergeCell ref="C836:I836"/>
    <mergeCell ref="C938:I938"/>
    <mergeCell ref="G878:I878"/>
    <mergeCell ref="C897:I897"/>
    <mergeCell ref="C757:I757"/>
    <mergeCell ref="G758:I758"/>
    <mergeCell ref="C763:I763"/>
    <mergeCell ref="G764:I764"/>
    <mergeCell ref="G867:I867"/>
    <mergeCell ref="C877:I877"/>
    <mergeCell ref="G668:I668"/>
    <mergeCell ref="C680:I680"/>
    <mergeCell ref="C681:I681"/>
    <mergeCell ref="G837:I837"/>
    <mergeCell ref="C444:I444"/>
    <mergeCell ref="G525:I525"/>
    <mergeCell ref="C536:I536"/>
    <mergeCell ref="G537:I537"/>
    <mergeCell ref="C555:I555"/>
    <mergeCell ref="G556:I556"/>
    <mergeCell ref="C498:I498"/>
    <mergeCell ref="C724:I724"/>
    <mergeCell ref="C725:I725"/>
    <mergeCell ref="C744:I744"/>
    <mergeCell ref="G745:I745"/>
    <mergeCell ref="C616:I616"/>
    <mergeCell ref="C617:I617"/>
    <mergeCell ref="G615:I615"/>
    <mergeCell ref="C514:I514"/>
    <mergeCell ref="G515:I515"/>
    <mergeCell ref="C524:I524"/>
    <mergeCell ref="C592:I592"/>
    <mergeCell ref="C579:I579"/>
    <mergeCell ref="C667:I667"/>
    <mergeCell ref="K3:K4"/>
    <mergeCell ref="M3:M4"/>
    <mergeCell ref="C6:I6"/>
    <mergeCell ref="C257:I257"/>
    <mergeCell ref="G258:I258"/>
    <mergeCell ref="C273:I273"/>
    <mergeCell ref="G274:I274"/>
    <mergeCell ref="C456:I456"/>
    <mergeCell ref="C457:I457"/>
    <mergeCell ref="C308:I308"/>
    <mergeCell ref="G309:I309"/>
    <mergeCell ref="C279:I279"/>
    <mergeCell ref="G280:I280"/>
    <mergeCell ref="C296:I296"/>
    <mergeCell ref="G297:I297"/>
    <mergeCell ref="C343:I343"/>
    <mergeCell ref="C365:I365"/>
    <mergeCell ref="C340:I340"/>
    <mergeCell ref="G341:I341"/>
    <mergeCell ref="C366:I366"/>
    <mergeCell ref="C394:I394"/>
    <mergeCell ref="C395:I395"/>
    <mergeCell ref="C342:I342"/>
    <mergeCell ref="C411:I411"/>
    <mergeCell ref="G994:I994"/>
    <mergeCell ref="C614:I614"/>
    <mergeCell ref="C200:I200"/>
    <mergeCell ref="C813:I813"/>
    <mergeCell ref="G814:I814"/>
    <mergeCell ref="C823:I823"/>
    <mergeCell ref="G824:I824"/>
    <mergeCell ref="A3:A4"/>
    <mergeCell ref="B3:B4"/>
    <mergeCell ref="C3:C4"/>
    <mergeCell ref="D3:D4"/>
    <mergeCell ref="E3:E4"/>
    <mergeCell ref="F3:J3"/>
    <mergeCell ref="G233:I233"/>
    <mergeCell ref="C168:I168"/>
    <mergeCell ref="C188:I188"/>
    <mergeCell ref="G189:I189"/>
    <mergeCell ref="C248:I248"/>
    <mergeCell ref="G249:I249"/>
    <mergeCell ref="G679:I679"/>
    <mergeCell ref="C722:I722"/>
    <mergeCell ref="G593:I593"/>
    <mergeCell ref="C678:I678"/>
    <mergeCell ref="C610:I610"/>
    <mergeCell ref="B1:J1"/>
    <mergeCell ref="B2:J2"/>
    <mergeCell ref="C363:I363"/>
    <mergeCell ref="G169:I169"/>
    <mergeCell ref="C796:I796"/>
    <mergeCell ref="G797:I797"/>
    <mergeCell ref="G201:I201"/>
    <mergeCell ref="C211:I211"/>
    <mergeCell ref="G212:I212"/>
    <mergeCell ref="C232:I232"/>
    <mergeCell ref="C54:I54"/>
    <mergeCell ref="C89:I89"/>
    <mergeCell ref="G91:I91"/>
    <mergeCell ref="C108:I108"/>
    <mergeCell ref="G110:I110"/>
    <mergeCell ref="C153:I153"/>
    <mergeCell ref="G155:I155"/>
    <mergeCell ref="C7:I7"/>
    <mergeCell ref="G723:I723"/>
    <mergeCell ref="C412:I412"/>
    <mergeCell ref="C434:I434"/>
    <mergeCell ref="C435:I435"/>
    <mergeCell ref="C609:I609"/>
    <mergeCell ref="C445:I445"/>
  </mergeCells>
  <pageMargins left="0.44" right="0.38" top="0.38" bottom="0.43" header="0.3" footer="0.3"/>
  <pageSetup paperSize="9" scale="6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988"/>
  <sheetViews>
    <sheetView zoomScale="70" zoomScaleNormal="70" workbookViewId="0">
      <selection activeCell="A358" sqref="A6:XFD358"/>
    </sheetView>
  </sheetViews>
  <sheetFormatPr defaultRowHeight="18.75" x14ac:dyDescent="0.3"/>
  <cols>
    <col min="3" max="3" width="37.85546875" customWidth="1"/>
    <col min="6" max="6" width="11.140625" style="188" bestFit="1" customWidth="1"/>
    <col min="7" max="7" width="17.5703125" customWidth="1"/>
    <col min="8" max="8" width="10.42578125" customWidth="1"/>
    <col min="9" max="9" width="11.5703125" customWidth="1"/>
    <col min="10" max="10" width="26.42578125" customWidth="1"/>
    <col min="11" max="11" width="27.28515625" style="231" customWidth="1"/>
    <col min="12" max="12" width="35.28515625" style="252" customWidth="1"/>
    <col min="13" max="13" width="28.85546875" customWidth="1"/>
  </cols>
  <sheetData>
    <row r="1" spans="1:13" x14ac:dyDescent="0.3">
      <c r="A1" s="1"/>
      <c r="B1" s="437" t="s">
        <v>0</v>
      </c>
      <c r="C1" s="437"/>
      <c r="D1" s="501"/>
      <c r="E1" s="437"/>
      <c r="F1" s="438"/>
      <c r="G1" s="439"/>
      <c r="H1" s="440"/>
      <c r="I1" s="441"/>
      <c r="J1" s="437"/>
    </row>
    <row r="2" spans="1:13" x14ac:dyDescent="0.3">
      <c r="A2" s="3"/>
      <c r="B2" s="442" t="s">
        <v>1</v>
      </c>
      <c r="C2" s="442"/>
      <c r="D2" s="502"/>
      <c r="E2" s="442"/>
      <c r="F2" s="443"/>
      <c r="G2" s="444"/>
      <c r="H2" s="445"/>
      <c r="I2" s="446"/>
      <c r="J2" s="442"/>
    </row>
    <row r="3" spans="1:13" x14ac:dyDescent="0.3">
      <c r="A3" s="447" t="s">
        <v>2</v>
      </c>
      <c r="B3" s="447" t="s">
        <v>3</v>
      </c>
      <c r="C3" s="449" t="s">
        <v>4</v>
      </c>
      <c r="D3" s="503" t="s">
        <v>5</v>
      </c>
      <c r="E3" s="447" t="s">
        <v>6</v>
      </c>
      <c r="F3" s="450" t="s">
        <v>7</v>
      </c>
      <c r="G3" s="448"/>
      <c r="H3" s="448"/>
      <c r="I3" s="448"/>
      <c r="J3" s="448"/>
    </row>
    <row r="4" spans="1:13" ht="56.25" x14ac:dyDescent="0.3">
      <c r="A4" s="448"/>
      <c r="B4" s="447"/>
      <c r="C4" s="448"/>
      <c r="D4" s="504"/>
      <c r="E4" s="448"/>
      <c r="F4" s="170" t="s">
        <v>9</v>
      </c>
      <c r="G4" s="4" t="s">
        <v>10</v>
      </c>
      <c r="H4" s="5" t="s">
        <v>11</v>
      </c>
      <c r="I4" s="6" t="s">
        <v>12</v>
      </c>
      <c r="J4" s="219" t="s">
        <v>13</v>
      </c>
    </row>
    <row r="5" spans="1:13" x14ac:dyDescent="0.3">
      <c r="A5" s="7" t="s">
        <v>14</v>
      </c>
      <c r="B5" s="8" t="s">
        <v>14</v>
      </c>
      <c r="C5" s="8" t="s">
        <v>15</v>
      </c>
      <c r="D5" s="9">
        <v>4</v>
      </c>
      <c r="E5" s="8" t="s">
        <v>16</v>
      </c>
      <c r="F5" s="10" t="s">
        <v>17</v>
      </c>
      <c r="G5" s="11" t="s">
        <v>18</v>
      </c>
      <c r="H5" s="12" t="s">
        <v>19</v>
      </c>
      <c r="I5" s="166" t="s">
        <v>20</v>
      </c>
      <c r="J5" s="220" t="s">
        <v>21</v>
      </c>
    </row>
    <row r="6" spans="1:13" x14ac:dyDescent="0.3">
      <c r="A6" s="15"/>
      <c r="B6" s="15"/>
      <c r="C6" s="429" t="s">
        <v>678</v>
      </c>
      <c r="D6" s="430"/>
      <c r="E6" s="430"/>
      <c r="F6" s="430"/>
      <c r="G6" s="430"/>
      <c r="H6" s="430"/>
      <c r="I6" s="492"/>
      <c r="J6" s="220"/>
    </row>
    <row r="7" spans="1:13" s="289" customFormat="1" ht="46.5" customHeight="1" x14ac:dyDescent="0.25">
      <c r="A7" s="211">
        <v>1</v>
      </c>
      <c r="B7" s="17" t="s">
        <v>1263</v>
      </c>
      <c r="C7" s="433" t="s">
        <v>1264</v>
      </c>
      <c r="D7" s="434"/>
      <c r="E7" s="434"/>
      <c r="F7" s="434"/>
      <c r="G7" s="434"/>
      <c r="H7" s="434"/>
      <c r="I7" s="435"/>
      <c r="J7" s="221">
        <f>SUM(J8:J26)</f>
        <v>819489000</v>
      </c>
      <c r="K7" s="32">
        <f t="shared" ref="K7:K26" si="0">ROUND(G7*H7*I7*F7,-3)</f>
        <v>0</v>
      </c>
      <c r="L7" s="248" t="s">
        <v>1036</v>
      </c>
      <c r="M7" s="261">
        <f>J7-K7</f>
        <v>819489000</v>
      </c>
    </row>
    <row r="8" spans="1:13" s="289" customFormat="1" ht="90" customHeight="1" x14ac:dyDescent="0.25">
      <c r="A8" s="18"/>
      <c r="B8" s="19"/>
      <c r="C8" s="20" t="s">
        <v>1129</v>
      </c>
      <c r="D8" s="21"/>
      <c r="E8" s="22" t="s">
        <v>23</v>
      </c>
      <c r="F8" s="203">
        <v>53.7</v>
      </c>
      <c r="G8" s="296">
        <v>13800000</v>
      </c>
      <c r="H8" s="299">
        <v>0.59499999999999997</v>
      </c>
      <c r="I8" s="300">
        <v>1.2</v>
      </c>
      <c r="J8" s="223">
        <f t="shared" ref="J8:J21" si="1">ROUND(F8*G8*H8*I8,-3)</f>
        <v>529117000</v>
      </c>
      <c r="K8" s="32"/>
      <c r="L8" s="254" t="s">
        <v>1265</v>
      </c>
      <c r="M8" s="261">
        <f t="shared" ref="M8:M26" si="2">J8-K8</f>
        <v>529117000</v>
      </c>
    </row>
    <row r="9" spans="1:13" s="289" customFormat="1" ht="90" customHeight="1" x14ac:dyDescent="0.25">
      <c r="A9" s="18"/>
      <c r="B9" s="19"/>
      <c r="C9" s="20" t="s">
        <v>1130</v>
      </c>
      <c r="D9" s="21"/>
      <c r="E9" s="22" t="s">
        <v>23</v>
      </c>
      <c r="F9" s="203">
        <v>6.1</v>
      </c>
      <c r="G9" s="493" t="s">
        <v>1282</v>
      </c>
      <c r="H9" s="494"/>
      <c r="I9" s="494"/>
      <c r="J9" s="223">
        <v>0</v>
      </c>
      <c r="K9" s="32"/>
      <c r="L9" s="254"/>
      <c r="M9" s="261"/>
    </row>
    <row r="10" spans="1:13" s="289" customFormat="1" ht="96" customHeight="1" x14ac:dyDescent="0.3">
      <c r="A10" s="211"/>
      <c r="B10" s="17"/>
      <c r="C10" s="25" t="s">
        <v>1266</v>
      </c>
      <c r="D10" s="9" t="s">
        <v>148</v>
      </c>
      <c r="E10" s="27" t="s">
        <v>23</v>
      </c>
      <c r="F10" s="33">
        <f>5.1*9.1</f>
        <v>46.41</v>
      </c>
      <c r="G10" s="29">
        <v>3564000</v>
      </c>
      <c r="H10" s="37">
        <v>1</v>
      </c>
      <c r="I10" s="31">
        <v>1.1479999999999999</v>
      </c>
      <c r="J10" s="223">
        <f t="shared" si="1"/>
        <v>189885000</v>
      </c>
      <c r="K10" s="32">
        <f t="shared" si="0"/>
        <v>189885000</v>
      </c>
      <c r="L10" s="252"/>
      <c r="M10" s="261">
        <f t="shared" si="2"/>
        <v>0</v>
      </c>
    </row>
    <row r="11" spans="1:13" s="289" customFormat="1" ht="45" x14ac:dyDescent="0.3">
      <c r="A11" s="211"/>
      <c r="B11" s="17"/>
      <c r="C11" s="25" t="s">
        <v>1267</v>
      </c>
      <c r="D11" s="42" t="s">
        <v>225</v>
      </c>
      <c r="E11" s="96" t="s">
        <v>91</v>
      </c>
      <c r="F11" s="33">
        <f>5.1*8.4</f>
        <v>42.839999999999996</v>
      </c>
      <c r="G11" s="29">
        <v>527000</v>
      </c>
      <c r="H11" s="50">
        <v>1</v>
      </c>
      <c r="I11" s="79">
        <v>1.1479999999999999</v>
      </c>
      <c r="J11" s="223">
        <f t="shared" si="1"/>
        <v>25918000</v>
      </c>
      <c r="K11" s="32">
        <f t="shared" si="0"/>
        <v>25918000</v>
      </c>
      <c r="L11" s="252"/>
      <c r="M11" s="261">
        <f t="shared" si="2"/>
        <v>0</v>
      </c>
    </row>
    <row r="12" spans="1:13" s="289" customFormat="1" ht="45" x14ac:dyDescent="0.3">
      <c r="A12" s="211"/>
      <c r="B12" s="17"/>
      <c r="C12" s="25" t="s">
        <v>1268</v>
      </c>
      <c r="D12" s="34" t="s">
        <v>68</v>
      </c>
      <c r="E12" s="168" t="s">
        <v>23</v>
      </c>
      <c r="F12" s="33">
        <f>6.7*4.8</f>
        <v>32.159999999999997</v>
      </c>
      <c r="G12" s="46">
        <v>213000</v>
      </c>
      <c r="H12" s="37">
        <v>1</v>
      </c>
      <c r="I12" s="31">
        <v>1.1479999999999999</v>
      </c>
      <c r="J12" s="223">
        <f t="shared" si="1"/>
        <v>7864000</v>
      </c>
      <c r="K12" s="32">
        <f t="shared" si="0"/>
        <v>7864000</v>
      </c>
      <c r="L12" s="252"/>
      <c r="M12" s="261">
        <f t="shared" si="2"/>
        <v>0</v>
      </c>
    </row>
    <row r="13" spans="1:13" s="289" customFormat="1" ht="45" x14ac:dyDescent="0.3">
      <c r="A13" s="211"/>
      <c r="B13" s="17"/>
      <c r="C13" s="25" t="s">
        <v>1269</v>
      </c>
      <c r="D13" s="34" t="s">
        <v>66</v>
      </c>
      <c r="E13" s="27" t="s">
        <v>23</v>
      </c>
      <c r="F13" s="33">
        <f>11.8*0.9</f>
        <v>10.620000000000001</v>
      </c>
      <c r="G13" s="29">
        <v>339000</v>
      </c>
      <c r="H13" s="38">
        <v>1</v>
      </c>
      <c r="I13" s="31">
        <v>1.1479999999999999</v>
      </c>
      <c r="J13" s="223">
        <f t="shared" si="1"/>
        <v>4133000</v>
      </c>
      <c r="K13" s="32">
        <f t="shared" si="0"/>
        <v>4133000</v>
      </c>
      <c r="L13" s="252"/>
      <c r="M13" s="261">
        <f t="shared" si="2"/>
        <v>0</v>
      </c>
    </row>
    <row r="14" spans="1:13" s="289" customFormat="1" ht="75" x14ac:dyDescent="0.3">
      <c r="A14" s="211"/>
      <c r="B14" s="17"/>
      <c r="C14" s="25" t="s">
        <v>1270</v>
      </c>
      <c r="D14" s="34" t="s">
        <v>66</v>
      </c>
      <c r="E14" s="27" t="s">
        <v>23</v>
      </c>
      <c r="F14" s="33">
        <f>(1.6*0.65)*3+(1.3*0.65)*3+3.6*1</f>
        <v>9.2550000000000008</v>
      </c>
      <c r="G14" s="29">
        <v>339000</v>
      </c>
      <c r="H14" s="38">
        <v>1</v>
      </c>
      <c r="I14" s="31">
        <v>1.1479999999999999</v>
      </c>
      <c r="J14" s="223">
        <f t="shared" si="1"/>
        <v>3602000</v>
      </c>
      <c r="K14" s="32">
        <f t="shared" si="0"/>
        <v>3602000</v>
      </c>
      <c r="L14" s="252"/>
      <c r="M14" s="261">
        <f t="shared" si="2"/>
        <v>0</v>
      </c>
    </row>
    <row r="15" spans="1:13" s="289" customFormat="1" ht="45" x14ac:dyDescent="0.3">
      <c r="A15" s="211"/>
      <c r="B15" s="17"/>
      <c r="C15" s="25" t="s">
        <v>1271</v>
      </c>
      <c r="D15" s="26" t="s">
        <v>24</v>
      </c>
      <c r="E15" s="84" t="s">
        <v>25</v>
      </c>
      <c r="F15" s="33">
        <f>(5.1*0.8*0.15)*2</f>
        <v>1.224</v>
      </c>
      <c r="G15" s="86">
        <v>2828000</v>
      </c>
      <c r="H15" s="87">
        <v>1</v>
      </c>
      <c r="I15" s="88">
        <v>1.1479999999999999</v>
      </c>
      <c r="J15" s="223">
        <f t="shared" si="1"/>
        <v>3974000</v>
      </c>
      <c r="K15" s="32">
        <f t="shared" si="0"/>
        <v>3974000</v>
      </c>
      <c r="L15" s="252"/>
      <c r="M15" s="261">
        <f t="shared" si="2"/>
        <v>0</v>
      </c>
    </row>
    <row r="16" spans="1:13" s="289" customFormat="1" ht="45" x14ac:dyDescent="0.3">
      <c r="A16" s="211"/>
      <c r="B16" s="17"/>
      <c r="C16" s="25" t="s">
        <v>1272</v>
      </c>
      <c r="D16" s="34" t="s">
        <v>562</v>
      </c>
      <c r="E16" s="27" t="s">
        <v>23</v>
      </c>
      <c r="F16" s="33">
        <f>8.4*5.2</f>
        <v>43.680000000000007</v>
      </c>
      <c r="G16" s="29">
        <v>577000</v>
      </c>
      <c r="H16" s="37">
        <v>1</v>
      </c>
      <c r="I16" s="31">
        <v>1.1479999999999999</v>
      </c>
      <c r="J16" s="223">
        <f t="shared" si="1"/>
        <v>28933000</v>
      </c>
      <c r="K16" s="32">
        <f t="shared" si="0"/>
        <v>28933000</v>
      </c>
      <c r="L16" s="252"/>
      <c r="M16" s="261">
        <f t="shared" si="2"/>
        <v>0</v>
      </c>
    </row>
    <row r="17" spans="1:13" s="289" customFormat="1" ht="45" x14ac:dyDescent="0.3">
      <c r="A17" s="211"/>
      <c r="B17" s="17"/>
      <c r="C17" s="25" t="s">
        <v>1273</v>
      </c>
      <c r="D17" s="34" t="s">
        <v>101</v>
      </c>
      <c r="E17" s="71" t="s">
        <v>23</v>
      </c>
      <c r="F17" s="33">
        <f>5.1*1</f>
        <v>5.0999999999999996</v>
      </c>
      <c r="G17" s="29">
        <v>339000</v>
      </c>
      <c r="H17" s="37">
        <v>1</v>
      </c>
      <c r="I17" s="31">
        <v>1.1479999999999999</v>
      </c>
      <c r="J17" s="223">
        <f t="shared" si="1"/>
        <v>1985000</v>
      </c>
      <c r="K17" s="32">
        <f t="shared" si="0"/>
        <v>1985000</v>
      </c>
      <c r="L17" s="252"/>
      <c r="M17" s="261">
        <f t="shared" si="2"/>
        <v>0</v>
      </c>
    </row>
    <row r="18" spans="1:13" s="289" customFormat="1" ht="45" x14ac:dyDescent="0.3">
      <c r="A18" s="211"/>
      <c r="B18" s="17"/>
      <c r="C18" s="25" t="s">
        <v>1274</v>
      </c>
      <c r="D18" s="42" t="s">
        <v>32</v>
      </c>
      <c r="E18" s="27" t="s">
        <v>23</v>
      </c>
      <c r="F18" s="33">
        <f>8.4*5.2</f>
        <v>43.680000000000007</v>
      </c>
      <c r="G18" s="29">
        <v>215000</v>
      </c>
      <c r="H18" s="30">
        <v>1</v>
      </c>
      <c r="I18" s="31">
        <v>1.1479999999999999</v>
      </c>
      <c r="J18" s="223">
        <f t="shared" si="1"/>
        <v>10781000</v>
      </c>
      <c r="K18" s="32">
        <f t="shared" si="0"/>
        <v>10781000</v>
      </c>
      <c r="L18" s="252"/>
      <c r="M18" s="261">
        <f t="shared" si="2"/>
        <v>0</v>
      </c>
    </row>
    <row r="19" spans="1:13" s="289" customFormat="1" ht="45" x14ac:dyDescent="0.3">
      <c r="A19" s="211"/>
      <c r="B19" s="17"/>
      <c r="C19" s="25" t="s">
        <v>1275</v>
      </c>
      <c r="D19" s="42" t="s">
        <v>32</v>
      </c>
      <c r="E19" s="27" t="s">
        <v>23</v>
      </c>
      <c r="F19" s="33">
        <f>8.4*3.4</f>
        <v>28.56</v>
      </c>
      <c r="G19" s="29">
        <v>215000</v>
      </c>
      <c r="H19" s="30">
        <v>1</v>
      </c>
      <c r="I19" s="31">
        <v>1.1479999999999999</v>
      </c>
      <c r="J19" s="223">
        <f t="shared" si="1"/>
        <v>7049000</v>
      </c>
      <c r="K19" s="32">
        <f t="shared" si="0"/>
        <v>7049000</v>
      </c>
      <c r="L19" s="252"/>
      <c r="M19" s="261">
        <f t="shared" si="2"/>
        <v>0</v>
      </c>
    </row>
    <row r="20" spans="1:13" s="289" customFormat="1" ht="45" x14ac:dyDescent="0.3">
      <c r="A20" s="211"/>
      <c r="B20" s="17"/>
      <c r="C20" s="25" t="s">
        <v>1276</v>
      </c>
      <c r="D20" s="26" t="s">
        <v>95</v>
      </c>
      <c r="E20" s="71" t="s">
        <v>25</v>
      </c>
      <c r="F20" s="33">
        <f>(1.4*0.3*0.15)*8</f>
        <v>0.504</v>
      </c>
      <c r="G20" s="11">
        <v>1000000</v>
      </c>
      <c r="H20" s="45">
        <v>1</v>
      </c>
      <c r="I20" s="31">
        <v>1.1479999999999999</v>
      </c>
      <c r="J20" s="223">
        <f t="shared" si="1"/>
        <v>579000</v>
      </c>
      <c r="K20" s="32">
        <f t="shared" si="0"/>
        <v>579000</v>
      </c>
      <c r="L20" s="252"/>
      <c r="M20" s="261">
        <f t="shared" si="2"/>
        <v>0</v>
      </c>
    </row>
    <row r="21" spans="1:13" s="289" customFormat="1" ht="45" x14ac:dyDescent="0.3">
      <c r="A21" s="211"/>
      <c r="B21" s="17"/>
      <c r="C21" s="25" t="s">
        <v>1277</v>
      </c>
      <c r="D21" s="34" t="s">
        <v>52</v>
      </c>
      <c r="E21" s="96" t="s">
        <v>91</v>
      </c>
      <c r="F21" s="33">
        <f>5.1*1.5</f>
        <v>7.6499999999999995</v>
      </c>
      <c r="G21" s="11" t="s">
        <v>53</v>
      </c>
      <c r="H21" s="37">
        <v>1</v>
      </c>
      <c r="I21" s="31">
        <v>1.1479999999999999</v>
      </c>
      <c r="J21" s="223">
        <f t="shared" si="1"/>
        <v>2073000</v>
      </c>
      <c r="K21" s="32">
        <f t="shared" si="0"/>
        <v>2073000</v>
      </c>
      <c r="L21" s="252"/>
      <c r="M21" s="261">
        <f t="shared" si="2"/>
        <v>0</v>
      </c>
    </row>
    <row r="22" spans="1:13" s="289" customFormat="1" ht="56.25" x14ac:dyDescent="0.3">
      <c r="A22" s="211"/>
      <c r="B22" s="17"/>
      <c r="C22" s="25" t="s">
        <v>1278</v>
      </c>
      <c r="D22" s="34" t="s">
        <v>68</v>
      </c>
      <c r="E22" s="96" t="s">
        <v>91</v>
      </c>
      <c r="F22" s="33">
        <f>(3.6*0.6)*2+1.4*0.8+2.5*1.2</f>
        <v>8.4400000000000013</v>
      </c>
      <c r="G22" s="46">
        <v>213000</v>
      </c>
      <c r="H22" s="37">
        <v>1</v>
      </c>
      <c r="I22" s="79">
        <v>1.1479999999999999</v>
      </c>
      <c r="J22" s="223">
        <f>ROUND(F22*G22*H22*I22,-3)</f>
        <v>2064000</v>
      </c>
      <c r="K22" s="32">
        <f t="shared" si="0"/>
        <v>2064000</v>
      </c>
      <c r="L22" s="252"/>
      <c r="M22" s="261">
        <f t="shared" si="2"/>
        <v>0</v>
      </c>
    </row>
    <row r="23" spans="1:13" s="289" customFormat="1" ht="45" x14ac:dyDescent="0.3">
      <c r="A23" s="211"/>
      <c r="B23" s="17"/>
      <c r="C23" s="25" t="s">
        <v>1279</v>
      </c>
      <c r="D23" s="34" t="s">
        <v>38</v>
      </c>
      <c r="E23" s="27" t="s">
        <v>39</v>
      </c>
      <c r="F23" s="33">
        <v>1</v>
      </c>
      <c r="G23" s="55">
        <v>1018000</v>
      </c>
      <c r="H23" s="56">
        <v>1</v>
      </c>
      <c r="I23" s="57">
        <v>1.1479999999999999</v>
      </c>
      <c r="J23" s="226">
        <f>ROUND(F23*G23*H23*I23,-3)</f>
        <v>1169000</v>
      </c>
      <c r="K23" s="32">
        <f t="shared" si="0"/>
        <v>1169000</v>
      </c>
      <c r="L23" s="252"/>
      <c r="M23" s="261">
        <f t="shared" si="2"/>
        <v>0</v>
      </c>
    </row>
    <row r="24" spans="1:13" s="289" customFormat="1" ht="30" x14ac:dyDescent="0.3">
      <c r="A24" s="67"/>
      <c r="B24" s="68"/>
      <c r="C24" s="25" t="s">
        <v>1280</v>
      </c>
      <c r="D24" s="58" t="s">
        <v>1281</v>
      </c>
      <c r="E24" s="59" t="s">
        <v>35</v>
      </c>
      <c r="F24" s="33">
        <v>1</v>
      </c>
      <c r="G24" s="11">
        <v>40910</v>
      </c>
      <c r="H24" s="60">
        <v>1</v>
      </c>
      <c r="I24" s="61">
        <v>1</v>
      </c>
      <c r="J24" s="223">
        <f>ROUND(F24*G24*H24*I24,-3)</f>
        <v>41000</v>
      </c>
      <c r="K24" s="32">
        <f t="shared" si="0"/>
        <v>41000</v>
      </c>
      <c r="L24" s="252"/>
      <c r="M24" s="261">
        <f t="shared" si="2"/>
        <v>0</v>
      </c>
    </row>
    <row r="25" spans="1:13" s="289" customFormat="1" ht="45" x14ac:dyDescent="0.3">
      <c r="A25" s="211"/>
      <c r="B25" s="17"/>
      <c r="C25" s="25" t="s">
        <v>72</v>
      </c>
      <c r="D25" s="62" t="s">
        <v>44</v>
      </c>
      <c r="E25" s="63" t="s">
        <v>45</v>
      </c>
      <c r="F25" s="33">
        <v>5</v>
      </c>
      <c r="G25" s="65">
        <v>28000</v>
      </c>
      <c r="H25" s="66">
        <v>1</v>
      </c>
      <c r="I25" s="31">
        <v>1.1479999999999999</v>
      </c>
      <c r="J25" s="223">
        <f>ROUND(F25*G25*H25*I25,-3)</f>
        <v>161000</v>
      </c>
      <c r="K25" s="32">
        <f t="shared" si="0"/>
        <v>161000</v>
      </c>
      <c r="L25" s="252"/>
      <c r="M25" s="261">
        <f t="shared" si="2"/>
        <v>0</v>
      </c>
    </row>
    <row r="26" spans="1:13" s="289" customFormat="1" ht="45" x14ac:dyDescent="0.3">
      <c r="A26" s="211"/>
      <c r="B26" s="17"/>
      <c r="C26" s="25" t="s">
        <v>82</v>
      </c>
      <c r="D26" s="42" t="s">
        <v>47</v>
      </c>
      <c r="E26" s="63" t="s">
        <v>45</v>
      </c>
      <c r="F26" s="33">
        <v>5</v>
      </c>
      <c r="G26" s="46">
        <v>28000</v>
      </c>
      <c r="H26" s="66">
        <v>1</v>
      </c>
      <c r="I26" s="31">
        <v>1.1479999999999999</v>
      </c>
      <c r="J26" s="223">
        <f>ROUND(F26*G26*H26*I26,-3)</f>
        <v>161000</v>
      </c>
      <c r="K26" s="32">
        <f t="shared" si="0"/>
        <v>161000</v>
      </c>
      <c r="L26" s="252"/>
      <c r="M26" s="261">
        <f t="shared" si="2"/>
        <v>0</v>
      </c>
    </row>
    <row r="27" spans="1:13" ht="75" customHeight="1" x14ac:dyDescent="0.25">
      <c r="A27" s="67">
        <v>2</v>
      </c>
      <c r="B27" s="68" t="s">
        <v>1123</v>
      </c>
      <c r="C27" s="433" t="s">
        <v>1124</v>
      </c>
      <c r="D27" s="434"/>
      <c r="E27" s="434"/>
      <c r="F27" s="434"/>
      <c r="G27" s="434"/>
      <c r="H27" s="434"/>
      <c r="I27" s="435"/>
      <c r="J27" s="221">
        <f>SUM(J28:J29)</f>
        <v>616810000</v>
      </c>
      <c r="K27" s="32">
        <f t="shared" ref="K27:K72" si="3">ROUND(G27*H27*I27*F27,-3)</f>
        <v>0</v>
      </c>
      <c r="L27" s="248" t="s">
        <v>1036</v>
      </c>
    </row>
    <row r="28" spans="1:13" ht="83.25" customHeight="1" x14ac:dyDescent="0.3">
      <c r="A28" s="18"/>
      <c r="B28" s="19"/>
      <c r="C28" s="20" t="s">
        <v>1129</v>
      </c>
      <c r="D28" s="21"/>
      <c r="E28" s="22" t="s">
        <v>23</v>
      </c>
      <c r="F28" s="203">
        <v>62.6</v>
      </c>
      <c r="G28" s="296">
        <v>13800000</v>
      </c>
      <c r="H28" s="299">
        <v>0.59499999999999997</v>
      </c>
      <c r="I28" s="300">
        <v>1.2</v>
      </c>
      <c r="J28" s="223">
        <f>ROUND(F28*G28*H28*I28,-3)</f>
        <v>616810000</v>
      </c>
      <c r="K28" s="32">
        <f t="shared" si="3"/>
        <v>616810000</v>
      </c>
    </row>
    <row r="29" spans="1:13" s="289" customFormat="1" ht="83.25" customHeight="1" x14ac:dyDescent="0.3">
      <c r="A29" s="18"/>
      <c r="B29" s="19"/>
      <c r="C29" s="20" t="s">
        <v>1128</v>
      </c>
      <c r="D29" s="21"/>
      <c r="E29" s="22" t="s">
        <v>23</v>
      </c>
      <c r="F29" s="203">
        <v>100.3</v>
      </c>
      <c r="G29" s="493" t="s">
        <v>1125</v>
      </c>
      <c r="H29" s="494"/>
      <c r="I29" s="494"/>
      <c r="J29" s="222"/>
      <c r="K29" s="32"/>
      <c r="L29" s="252"/>
    </row>
    <row r="30" spans="1:13" s="289" customFormat="1" x14ac:dyDescent="0.25">
      <c r="A30" s="67" t="s">
        <v>1283</v>
      </c>
      <c r="B30" s="68" t="s">
        <v>679</v>
      </c>
      <c r="C30" s="433" t="s">
        <v>680</v>
      </c>
      <c r="D30" s="434"/>
      <c r="E30" s="434"/>
      <c r="F30" s="434"/>
      <c r="G30" s="434"/>
      <c r="H30" s="434"/>
      <c r="I30" s="435"/>
      <c r="J30" s="221">
        <f>SUM(J32:J62)</f>
        <v>242952000</v>
      </c>
      <c r="K30" s="32">
        <f>ROUND(G30*H30*I30*F30,-3)</f>
        <v>0</v>
      </c>
      <c r="L30" s="248" t="s">
        <v>1036</v>
      </c>
    </row>
    <row r="31" spans="1:13" x14ac:dyDescent="0.3">
      <c r="A31" s="18"/>
      <c r="B31" s="19"/>
      <c r="C31" s="483" t="s">
        <v>681</v>
      </c>
      <c r="D31" s="484"/>
      <c r="E31" s="484"/>
      <c r="F31" s="484"/>
      <c r="G31" s="484"/>
      <c r="H31" s="484"/>
      <c r="I31" s="485"/>
      <c r="J31" s="221"/>
      <c r="K31" s="32">
        <f t="shared" si="3"/>
        <v>0</v>
      </c>
    </row>
    <row r="32" spans="1:13" ht="93.75" x14ac:dyDescent="0.3">
      <c r="A32" s="16"/>
      <c r="B32" s="17"/>
      <c r="C32" s="25" t="s">
        <v>682</v>
      </c>
      <c r="D32" s="81" t="s">
        <v>63</v>
      </c>
      <c r="E32" s="27" t="s">
        <v>23</v>
      </c>
      <c r="F32" s="33">
        <f>4.2*9.2</f>
        <v>38.64</v>
      </c>
      <c r="G32" s="49">
        <v>2975000</v>
      </c>
      <c r="H32" s="37">
        <v>0.8</v>
      </c>
      <c r="I32" s="31">
        <v>1.1479999999999999</v>
      </c>
      <c r="J32" s="223">
        <f>ROUND(F32*G32*H32*I32,-3)</f>
        <v>105574000</v>
      </c>
      <c r="K32" s="32">
        <f t="shared" si="3"/>
        <v>105574000</v>
      </c>
    </row>
    <row r="33" spans="1:11" ht="45" x14ac:dyDescent="0.3">
      <c r="A33" s="107"/>
      <c r="B33" s="84"/>
      <c r="C33" s="167" t="s">
        <v>683</v>
      </c>
      <c r="D33" s="34" t="s">
        <v>68</v>
      </c>
      <c r="E33" s="168" t="s">
        <v>23</v>
      </c>
      <c r="F33" s="85">
        <f>4*8.9</f>
        <v>35.6</v>
      </c>
      <c r="G33" s="46">
        <v>213000</v>
      </c>
      <c r="H33" s="37">
        <v>0.8</v>
      </c>
      <c r="I33" s="31">
        <v>1.1479999999999999</v>
      </c>
      <c r="J33" s="223">
        <f t="shared" ref="J33:J48" si="4">ROUND(F33*G33*H33*I33,-3)</f>
        <v>6964000</v>
      </c>
      <c r="K33" s="32">
        <f t="shared" si="3"/>
        <v>6964000</v>
      </c>
    </row>
    <row r="34" spans="1:11" ht="45" x14ac:dyDescent="0.3">
      <c r="A34" s="69"/>
      <c r="B34" s="8"/>
      <c r="C34" s="70" t="s">
        <v>684</v>
      </c>
      <c r="D34" s="34" t="s">
        <v>52</v>
      </c>
      <c r="E34" s="71" t="s">
        <v>23</v>
      </c>
      <c r="F34" s="89">
        <f>6.9*3.9</f>
        <v>26.91</v>
      </c>
      <c r="G34" s="11" t="s">
        <v>53</v>
      </c>
      <c r="H34" s="37">
        <v>0.8</v>
      </c>
      <c r="I34" s="31">
        <v>1.1479999999999999</v>
      </c>
      <c r="J34" s="223">
        <f t="shared" si="4"/>
        <v>5833000</v>
      </c>
      <c r="K34" s="32">
        <f t="shared" si="3"/>
        <v>5833000</v>
      </c>
    </row>
    <row r="35" spans="1:11" ht="45" x14ac:dyDescent="0.3">
      <c r="A35" s="69"/>
      <c r="B35" s="8"/>
      <c r="C35" s="70" t="s">
        <v>685</v>
      </c>
      <c r="D35" s="42" t="s">
        <v>225</v>
      </c>
      <c r="E35" s="96" t="s">
        <v>91</v>
      </c>
      <c r="F35" s="89">
        <f>7*4.1</f>
        <v>28.699999999999996</v>
      </c>
      <c r="G35" s="29">
        <v>527000</v>
      </c>
      <c r="H35" s="37">
        <v>0.8</v>
      </c>
      <c r="I35" s="151">
        <v>1.1479999999999999</v>
      </c>
      <c r="J35" s="223">
        <f t="shared" si="4"/>
        <v>13891000</v>
      </c>
      <c r="K35" s="32">
        <f t="shared" si="3"/>
        <v>13891000</v>
      </c>
    </row>
    <row r="36" spans="1:11" ht="45" x14ac:dyDescent="0.3">
      <c r="A36" s="69"/>
      <c r="B36" s="8"/>
      <c r="C36" s="70" t="s">
        <v>686</v>
      </c>
      <c r="D36" s="26" t="s">
        <v>24</v>
      </c>
      <c r="E36" s="84" t="s">
        <v>25</v>
      </c>
      <c r="F36" s="89">
        <f>4.1*2.1*0.15</f>
        <v>1.2914999999999999</v>
      </c>
      <c r="G36" s="86">
        <v>2828000</v>
      </c>
      <c r="H36" s="37">
        <v>0.8</v>
      </c>
      <c r="I36" s="88">
        <v>1.1479999999999999</v>
      </c>
      <c r="J36" s="223">
        <f t="shared" si="4"/>
        <v>3354000</v>
      </c>
      <c r="K36" s="32">
        <f t="shared" si="3"/>
        <v>3354000</v>
      </c>
    </row>
    <row r="37" spans="1:11" ht="45" x14ac:dyDescent="0.3">
      <c r="A37" s="69"/>
      <c r="B37" s="8"/>
      <c r="C37" s="70" t="s">
        <v>888</v>
      </c>
      <c r="D37" s="44" t="s">
        <v>33</v>
      </c>
      <c r="E37" s="27" t="s">
        <v>23</v>
      </c>
      <c r="F37" s="89">
        <f>(2.3*1)*2+4.1*1</f>
        <v>8.6999999999999993</v>
      </c>
      <c r="G37" s="29">
        <v>453000</v>
      </c>
      <c r="H37" s="37">
        <v>0.8</v>
      </c>
      <c r="I37" s="31">
        <v>1.1479999999999999</v>
      </c>
      <c r="J37" s="223">
        <f t="shared" si="4"/>
        <v>3620000</v>
      </c>
      <c r="K37" s="32">
        <f t="shared" si="3"/>
        <v>3620000</v>
      </c>
    </row>
    <row r="38" spans="1:11" ht="45" x14ac:dyDescent="0.3">
      <c r="A38" s="69"/>
      <c r="B38" s="8"/>
      <c r="C38" s="70" t="s">
        <v>889</v>
      </c>
      <c r="D38" s="34" t="s">
        <v>51</v>
      </c>
      <c r="E38" s="27" t="s">
        <v>23</v>
      </c>
      <c r="F38" s="89">
        <f>4.3*2.4</f>
        <v>10.319999999999999</v>
      </c>
      <c r="G38" s="29">
        <v>453000</v>
      </c>
      <c r="H38" s="37">
        <v>0.8</v>
      </c>
      <c r="I38" s="31">
        <v>1.1479999999999999</v>
      </c>
      <c r="J38" s="223">
        <f t="shared" si="4"/>
        <v>4293000</v>
      </c>
      <c r="K38" s="32">
        <f t="shared" si="3"/>
        <v>4293000</v>
      </c>
    </row>
    <row r="39" spans="1:11" ht="45" x14ac:dyDescent="0.3">
      <c r="A39" s="69"/>
      <c r="B39" s="8"/>
      <c r="C39" s="70" t="s">
        <v>687</v>
      </c>
      <c r="D39" s="42" t="s">
        <v>225</v>
      </c>
      <c r="E39" s="96" t="s">
        <v>91</v>
      </c>
      <c r="F39" s="89">
        <f>1.8*1+2.3*0.4</f>
        <v>2.7199999999999998</v>
      </c>
      <c r="G39" s="29">
        <v>527000</v>
      </c>
      <c r="H39" s="37">
        <v>0.8</v>
      </c>
      <c r="I39" s="151">
        <v>1.1479999999999999</v>
      </c>
      <c r="J39" s="223">
        <f t="shared" si="4"/>
        <v>1316000</v>
      </c>
      <c r="K39" s="32">
        <f t="shared" si="3"/>
        <v>1316000</v>
      </c>
    </row>
    <row r="40" spans="1:11" ht="45" x14ac:dyDescent="0.3">
      <c r="A40" s="69"/>
      <c r="B40" s="8"/>
      <c r="C40" s="70" t="s">
        <v>688</v>
      </c>
      <c r="D40" s="26" t="s">
        <v>161</v>
      </c>
      <c r="E40" s="71" t="s">
        <v>23</v>
      </c>
      <c r="F40" s="89">
        <f>3.8*2.4</f>
        <v>9.1199999999999992</v>
      </c>
      <c r="G40" s="11">
        <v>396000</v>
      </c>
      <c r="H40" s="37">
        <v>0.8</v>
      </c>
      <c r="I40" s="31">
        <v>1.1479999999999999</v>
      </c>
      <c r="J40" s="223">
        <f t="shared" si="4"/>
        <v>3317000</v>
      </c>
      <c r="K40" s="32">
        <f t="shared" si="3"/>
        <v>3317000</v>
      </c>
    </row>
    <row r="41" spans="1:11" ht="45" x14ac:dyDescent="0.3">
      <c r="A41" s="69"/>
      <c r="B41" s="8"/>
      <c r="C41" s="70" t="s">
        <v>689</v>
      </c>
      <c r="D41" s="34" t="s">
        <v>66</v>
      </c>
      <c r="E41" s="27" t="s">
        <v>23</v>
      </c>
      <c r="F41" s="89">
        <f>(2.2*0.8)*2+4.2*0.2+19.5*0.15</f>
        <v>7.2850000000000001</v>
      </c>
      <c r="G41" s="29">
        <v>339000</v>
      </c>
      <c r="H41" s="37">
        <v>0.8</v>
      </c>
      <c r="I41" s="31">
        <v>1.1479999999999999</v>
      </c>
      <c r="J41" s="223">
        <f t="shared" si="4"/>
        <v>2268000</v>
      </c>
      <c r="K41" s="32">
        <f t="shared" si="3"/>
        <v>2268000</v>
      </c>
    </row>
    <row r="42" spans="1:11" ht="56.25" x14ac:dyDescent="0.3">
      <c r="A42" s="69"/>
      <c r="B42" s="8"/>
      <c r="C42" s="70" t="s">
        <v>690</v>
      </c>
      <c r="D42" s="34" t="s">
        <v>66</v>
      </c>
      <c r="E42" s="27" t="s">
        <v>23</v>
      </c>
      <c r="F42" s="89">
        <f>3*1.4+4*1.75+0.5*0.8+5*2.2</f>
        <v>22.6</v>
      </c>
      <c r="G42" s="29">
        <v>339000</v>
      </c>
      <c r="H42" s="37">
        <v>0.8</v>
      </c>
      <c r="I42" s="31">
        <v>1.1479999999999999</v>
      </c>
      <c r="J42" s="223">
        <f t="shared" si="4"/>
        <v>7036000</v>
      </c>
      <c r="K42" s="32">
        <f t="shared" si="3"/>
        <v>7036000</v>
      </c>
    </row>
    <row r="43" spans="1:11" ht="45" x14ac:dyDescent="0.3">
      <c r="A43" s="69"/>
      <c r="B43" s="8"/>
      <c r="C43" s="70" t="s">
        <v>691</v>
      </c>
      <c r="D43" s="42" t="s">
        <v>32</v>
      </c>
      <c r="E43" s="27" t="s">
        <v>23</v>
      </c>
      <c r="F43" s="89">
        <f>5.1*4.2</f>
        <v>21.419999999999998</v>
      </c>
      <c r="G43" s="29">
        <v>215000</v>
      </c>
      <c r="H43" s="37">
        <v>0.8</v>
      </c>
      <c r="I43" s="31">
        <v>1.1479999999999999</v>
      </c>
      <c r="J43" s="223">
        <f t="shared" si="4"/>
        <v>4230000</v>
      </c>
      <c r="K43" s="32">
        <f t="shared" si="3"/>
        <v>4230000</v>
      </c>
    </row>
    <row r="44" spans="1:11" ht="45" x14ac:dyDescent="0.3">
      <c r="A44" s="69"/>
      <c r="B44" s="8"/>
      <c r="C44" s="70" t="s">
        <v>186</v>
      </c>
      <c r="D44" s="62" t="s">
        <v>44</v>
      </c>
      <c r="E44" s="63" t="s">
        <v>45</v>
      </c>
      <c r="F44" s="89">
        <v>7</v>
      </c>
      <c r="G44" s="65">
        <v>28000</v>
      </c>
      <c r="H44" s="37">
        <v>0.8</v>
      </c>
      <c r="I44" s="31">
        <v>1.1479999999999999</v>
      </c>
      <c r="J44" s="223">
        <f t="shared" si="4"/>
        <v>180000</v>
      </c>
      <c r="K44" s="32">
        <f t="shared" si="3"/>
        <v>180000</v>
      </c>
    </row>
    <row r="45" spans="1:11" ht="45" x14ac:dyDescent="0.3">
      <c r="A45" s="69"/>
      <c r="B45" s="8"/>
      <c r="C45" s="70" t="s">
        <v>187</v>
      </c>
      <c r="D45" s="42" t="s">
        <v>47</v>
      </c>
      <c r="E45" s="63" t="s">
        <v>45</v>
      </c>
      <c r="F45" s="89">
        <v>7</v>
      </c>
      <c r="G45" s="46">
        <v>28000</v>
      </c>
      <c r="H45" s="37">
        <v>0.8</v>
      </c>
      <c r="I45" s="31">
        <v>1.1479999999999999</v>
      </c>
      <c r="J45" s="223">
        <f t="shared" si="4"/>
        <v>180000</v>
      </c>
      <c r="K45" s="32">
        <f t="shared" si="3"/>
        <v>180000</v>
      </c>
    </row>
    <row r="46" spans="1:11" ht="45" x14ac:dyDescent="0.3">
      <c r="A46" s="69"/>
      <c r="B46" s="8"/>
      <c r="C46" s="70" t="s">
        <v>692</v>
      </c>
      <c r="D46" s="58" t="s">
        <v>41</v>
      </c>
      <c r="E46" s="59" t="s">
        <v>42</v>
      </c>
      <c r="F46" s="89">
        <v>6</v>
      </c>
      <c r="G46" s="11">
        <v>10650</v>
      </c>
      <c r="H46" s="37">
        <v>1</v>
      </c>
      <c r="I46" s="61">
        <v>1</v>
      </c>
      <c r="J46" s="223">
        <f t="shared" si="4"/>
        <v>64000</v>
      </c>
      <c r="K46" s="32">
        <f t="shared" si="3"/>
        <v>64000</v>
      </c>
    </row>
    <row r="47" spans="1:11" ht="45" x14ac:dyDescent="0.3">
      <c r="A47" s="69"/>
      <c r="B47" s="8"/>
      <c r="C47" s="70" t="s">
        <v>693</v>
      </c>
      <c r="D47" s="58" t="s">
        <v>41</v>
      </c>
      <c r="E47" s="59" t="s">
        <v>42</v>
      </c>
      <c r="F47" s="89">
        <v>21</v>
      </c>
      <c r="G47" s="11">
        <v>5330</v>
      </c>
      <c r="H47" s="60">
        <v>1</v>
      </c>
      <c r="I47" s="61">
        <v>1</v>
      </c>
      <c r="J47" s="223">
        <f t="shared" si="4"/>
        <v>112000</v>
      </c>
      <c r="K47" s="32">
        <f t="shared" si="3"/>
        <v>112000</v>
      </c>
    </row>
    <row r="48" spans="1:11" ht="45" x14ac:dyDescent="0.3">
      <c r="A48" s="69"/>
      <c r="B48" s="8"/>
      <c r="C48" s="70" t="s">
        <v>694</v>
      </c>
      <c r="D48" s="34" t="s">
        <v>97</v>
      </c>
      <c r="E48" s="71" t="s">
        <v>98</v>
      </c>
      <c r="F48" s="89">
        <v>1</v>
      </c>
      <c r="G48" s="36">
        <v>226000</v>
      </c>
      <c r="H48" s="37">
        <v>0.8</v>
      </c>
      <c r="I48" s="31">
        <v>1.1479999999999999</v>
      </c>
      <c r="J48" s="223">
        <f t="shared" si="4"/>
        <v>208000</v>
      </c>
      <c r="K48" s="32">
        <f t="shared" si="3"/>
        <v>208000</v>
      </c>
    </row>
    <row r="49" spans="1:11" x14ac:dyDescent="0.3">
      <c r="A49" s="18"/>
      <c r="B49" s="19"/>
      <c r="C49" s="483" t="s">
        <v>696</v>
      </c>
      <c r="D49" s="484"/>
      <c r="E49" s="484"/>
      <c r="F49" s="484"/>
      <c r="G49" s="484"/>
      <c r="H49" s="484"/>
      <c r="I49" s="485"/>
      <c r="J49" s="221"/>
      <c r="K49" s="32">
        <f t="shared" si="3"/>
        <v>0</v>
      </c>
    </row>
    <row r="50" spans="1:11" ht="45" x14ac:dyDescent="0.3">
      <c r="A50" s="18"/>
      <c r="B50" s="19"/>
      <c r="C50" s="20" t="s">
        <v>697</v>
      </c>
      <c r="D50" s="26" t="s">
        <v>207</v>
      </c>
      <c r="E50" s="71" t="s">
        <v>23</v>
      </c>
      <c r="F50" s="203">
        <f>1.3*2.4</f>
        <v>3.12</v>
      </c>
      <c r="G50" s="29">
        <v>566000</v>
      </c>
      <c r="H50" s="37">
        <v>0.8</v>
      </c>
      <c r="I50" s="31">
        <v>1.1479999999999999</v>
      </c>
      <c r="J50" s="223">
        <f t="shared" ref="J50:J55" si="5">ROUND(F50*G50*H50*I50,-3)</f>
        <v>1622000</v>
      </c>
      <c r="K50" s="32">
        <f t="shared" si="3"/>
        <v>1622000</v>
      </c>
    </row>
    <row r="51" spans="1:11" ht="45" x14ac:dyDescent="0.3">
      <c r="A51" s="16"/>
      <c r="B51" s="17"/>
      <c r="C51" s="25" t="s">
        <v>698</v>
      </c>
      <c r="D51" s="26" t="s">
        <v>24</v>
      </c>
      <c r="E51" s="27" t="s">
        <v>25</v>
      </c>
      <c r="F51" s="33">
        <f>0.1*0.1*2.7</f>
        <v>2.7000000000000007E-2</v>
      </c>
      <c r="G51" s="29">
        <v>2828000</v>
      </c>
      <c r="H51" s="37">
        <v>0.8</v>
      </c>
      <c r="I51" s="31">
        <v>1.1479999999999999</v>
      </c>
      <c r="J51" s="223">
        <f t="shared" si="5"/>
        <v>70000</v>
      </c>
      <c r="K51" s="32">
        <f t="shared" si="3"/>
        <v>70000</v>
      </c>
    </row>
    <row r="52" spans="1:11" ht="45" x14ac:dyDescent="0.3">
      <c r="A52" s="16"/>
      <c r="B52" s="17"/>
      <c r="C52" s="134" t="s">
        <v>699</v>
      </c>
      <c r="D52" s="34" t="s">
        <v>925</v>
      </c>
      <c r="E52" s="27" t="s">
        <v>39</v>
      </c>
      <c r="F52" s="204">
        <v>1</v>
      </c>
      <c r="G52" s="55">
        <v>1358000</v>
      </c>
      <c r="H52" s="37">
        <v>0.8</v>
      </c>
      <c r="I52" s="57">
        <v>1.1479999999999999</v>
      </c>
      <c r="J52" s="226">
        <f t="shared" si="5"/>
        <v>1247000</v>
      </c>
      <c r="K52" s="32">
        <f t="shared" si="3"/>
        <v>1247000</v>
      </c>
    </row>
    <row r="53" spans="1:11" ht="45" x14ac:dyDescent="0.3">
      <c r="A53" s="16"/>
      <c r="B53" s="17"/>
      <c r="C53" s="25" t="s">
        <v>321</v>
      </c>
      <c r="D53" s="34" t="s">
        <v>38</v>
      </c>
      <c r="E53" s="27" t="s">
        <v>39</v>
      </c>
      <c r="F53" s="33">
        <v>2</v>
      </c>
      <c r="G53" s="55">
        <v>1018000</v>
      </c>
      <c r="H53" s="37">
        <v>0.8</v>
      </c>
      <c r="I53" s="57">
        <v>1.1479999999999999</v>
      </c>
      <c r="J53" s="226">
        <f t="shared" si="5"/>
        <v>1870000</v>
      </c>
      <c r="K53" s="32">
        <f t="shared" si="3"/>
        <v>1870000</v>
      </c>
    </row>
    <row r="54" spans="1:11" ht="45" x14ac:dyDescent="0.3">
      <c r="A54" s="16"/>
      <c r="B54" s="17"/>
      <c r="C54" s="25" t="s">
        <v>890</v>
      </c>
      <c r="D54" s="34" t="s">
        <v>29</v>
      </c>
      <c r="E54" s="27" t="s">
        <v>23</v>
      </c>
      <c r="F54" s="33">
        <f>9.1*1.8</f>
        <v>16.38</v>
      </c>
      <c r="G54" s="29">
        <v>792000</v>
      </c>
      <c r="H54" s="37">
        <v>0.8</v>
      </c>
      <c r="I54" s="31">
        <v>1.1479999999999999</v>
      </c>
      <c r="J54" s="223">
        <f t="shared" si="5"/>
        <v>11914000</v>
      </c>
      <c r="K54" s="32">
        <f t="shared" si="3"/>
        <v>11914000</v>
      </c>
    </row>
    <row r="55" spans="1:11" ht="45" x14ac:dyDescent="0.3">
      <c r="A55" s="16"/>
      <c r="B55" s="17"/>
      <c r="C55" s="25" t="s">
        <v>700</v>
      </c>
      <c r="D55" s="42" t="s">
        <v>32</v>
      </c>
      <c r="E55" s="27" t="s">
        <v>23</v>
      </c>
      <c r="F55" s="33">
        <f>3.3*6</f>
        <v>19.799999999999997</v>
      </c>
      <c r="G55" s="29">
        <v>215000</v>
      </c>
      <c r="H55" s="37">
        <v>0.8</v>
      </c>
      <c r="I55" s="31">
        <v>1.1479999999999999</v>
      </c>
      <c r="J55" s="223">
        <f t="shared" si="5"/>
        <v>3910000</v>
      </c>
      <c r="K55" s="32">
        <f t="shared" si="3"/>
        <v>3910000</v>
      </c>
    </row>
    <row r="56" spans="1:11" x14ac:dyDescent="0.3">
      <c r="A56" s="18"/>
      <c r="B56" s="19"/>
      <c r="C56" s="483" t="s">
        <v>701</v>
      </c>
      <c r="D56" s="484"/>
      <c r="E56" s="484"/>
      <c r="F56" s="484"/>
      <c r="G56" s="484"/>
      <c r="H56" s="484"/>
      <c r="I56" s="485"/>
      <c r="J56" s="221"/>
      <c r="K56" s="32">
        <f t="shared" si="3"/>
        <v>0</v>
      </c>
    </row>
    <row r="57" spans="1:11" ht="45" x14ac:dyDescent="0.3">
      <c r="A57" s="16"/>
      <c r="B57" s="17"/>
      <c r="C57" s="25" t="s">
        <v>891</v>
      </c>
      <c r="D57" s="34" t="s">
        <v>51</v>
      </c>
      <c r="E57" s="27" t="s">
        <v>23</v>
      </c>
      <c r="F57" s="33">
        <f>10.8*6.4</f>
        <v>69.12</v>
      </c>
      <c r="G57" s="29">
        <v>453000</v>
      </c>
      <c r="H57" s="37">
        <v>0.8</v>
      </c>
      <c r="I57" s="31">
        <v>1.1479999999999999</v>
      </c>
      <c r="J57" s="223">
        <f t="shared" ref="J57:J62" si="6">ROUND(F57*G57*H57*I57,-3)</f>
        <v>28756000</v>
      </c>
      <c r="K57" s="32">
        <f t="shared" si="3"/>
        <v>28756000</v>
      </c>
    </row>
    <row r="58" spans="1:11" ht="45" x14ac:dyDescent="0.3">
      <c r="A58" s="16"/>
      <c r="B58" s="17"/>
      <c r="C58" s="25" t="s">
        <v>702</v>
      </c>
      <c r="D58" s="42" t="s">
        <v>32</v>
      </c>
      <c r="E58" s="27" t="s">
        <v>23</v>
      </c>
      <c r="F58" s="33">
        <f>8.7*6.4</f>
        <v>55.68</v>
      </c>
      <c r="G58" s="29">
        <v>215000</v>
      </c>
      <c r="H58" s="37">
        <v>0.8</v>
      </c>
      <c r="I58" s="31">
        <v>1.1479999999999999</v>
      </c>
      <c r="J58" s="223">
        <f t="shared" si="6"/>
        <v>10994000</v>
      </c>
      <c r="K58" s="32">
        <f t="shared" si="3"/>
        <v>10994000</v>
      </c>
    </row>
    <row r="59" spans="1:11" ht="45" x14ac:dyDescent="0.3">
      <c r="A59" s="16"/>
      <c r="B59" s="17"/>
      <c r="C59" s="25" t="s">
        <v>703</v>
      </c>
      <c r="D59" s="26" t="s">
        <v>207</v>
      </c>
      <c r="E59" s="71" t="s">
        <v>23</v>
      </c>
      <c r="F59" s="33">
        <f>2.6*2.4</f>
        <v>6.24</v>
      </c>
      <c r="G59" s="29">
        <v>566000</v>
      </c>
      <c r="H59" s="37">
        <v>0.8</v>
      </c>
      <c r="I59" s="31">
        <v>1.1479999999999999</v>
      </c>
      <c r="J59" s="223">
        <f t="shared" si="6"/>
        <v>3244000</v>
      </c>
      <c r="K59" s="32">
        <f t="shared" si="3"/>
        <v>3244000</v>
      </c>
    </row>
    <row r="60" spans="1:11" ht="45" x14ac:dyDescent="0.3">
      <c r="A60" s="16"/>
      <c r="B60" s="17"/>
      <c r="C60" s="25" t="s">
        <v>704</v>
      </c>
      <c r="D60" s="26" t="s">
        <v>89</v>
      </c>
      <c r="E60" s="71" t="s">
        <v>23</v>
      </c>
      <c r="F60" s="33">
        <f>2.8*1.8+(8.7*1.8)*2</f>
        <v>36.36</v>
      </c>
      <c r="G60" s="29">
        <v>11000</v>
      </c>
      <c r="H60" s="37">
        <v>0.8</v>
      </c>
      <c r="I60" s="31">
        <v>1.1479999999999999</v>
      </c>
      <c r="J60" s="223">
        <f t="shared" si="6"/>
        <v>367000</v>
      </c>
      <c r="K60" s="32">
        <f t="shared" si="3"/>
        <v>367000</v>
      </c>
    </row>
    <row r="61" spans="1:11" ht="45" x14ac:dyDescent="0.3">
      <c r="A61" s="16"/>
      <c r="B61" s="17"/>
      <c r="C61" s="25" t="s">
        <v>705</v>
      </c>
      <c r="D61" s="34" t="s">
        <v>30</v>
      </c>
      <c r="E61" s="27" t="s">
        <v>23</v>
      </c>
      <c r="F61" s="33">
        <f>(8.7*1.1)*2</f>
        <v>19.14</v>
      </c>
      <c r="G61" s="39">
        <v>679000</v>
      </c>
      <c r="H61" s="37">
        <v>0.8</v>
      </c>
      <c r="I61" s="40">
        <v>1.1479999999999999</v>
      </c>
      <c r="J61" s="224">
        <f t="shared" si="6"/>
        <v>11936000</v>
      </c>
      <c r="K61" s="32">
        <f t="shared" si="3"/>
        <v>11936000</v>
      </c>
    </row>
    <row r="62" spans="1:11" ht="45" x14ac:dyDescent="0.3">
      <c r="A62" s="16"/>
      <c r="B62" s="17"/>
      <c r="C62" s="25" t="s">
        <v>706</v>
      </c>
      <c r="D62" s="34" t="s">
        <v>52</v>
      </c>
      <c r="E62" s="27" t="s">
        <v>23</v>
      </c>
      <c r="F62" s="33">
        <f>8.7*1.4+6.4*1.4</f>
        <v>21.139999999999997</v>
      </c>
      <c r="G62" s="11" t="s">
        <v>53</v>
      </c>
      <c r="H62" s="37">
        <v>0.8</v>
      </c>
      <c r="I62" s="78">
        <v>1.1479999999999999</v>
      </c>
      <c r="J62" s="223">
        <f t="shared" si="6"/>
        <v>4582000</v>
      </c>
      <c r="K62" s="32">
        <f t="shared" si="3"/>
        <v>4582000</v>
      </c>
    </row>
    <row r="63" spans="1:11" x14ac:dyDescent="0.3">
      <c r="A63" s="16" t="s">
        <v>1284</v>
      </c>
      <c r="B63" s="17" t="s">
        <v>695</v>
      </c>
      <c r="C63" s="433" t="s">
        <v>708</v>
      </c>
      <c r="D63" s="434"/>
      <c r="E63" s="434"/>
      <c r="F63" s="434"/>
      <c r="G63" s="434"/>
      <c r="H63" s="434"/>
      <c r="I63" s="435"/>
      <c r="J63" s="221">
        <f>SUM(J64:J70)</f>
        <v>14289000</v>
      </c>
      <c r="K63" s="32">
        <f t="shared" si="3"/>
        <v>0</v>
      </c>
    </row>
    <row r="64" spans="1:11" x14ac:dyDescent="0.3">
      <c r="A64" s="18"/>
      <c r="B64" s="19"/>
      <c r="C64" s="483" t="s">
        <v>681</v>
      </c>
      <c r="D64" s="484"/>
      <c r="E64" s="484"/>
      <c r="F64" s="484"/>
      <c r="G64" s="484"/>
      <c r="H64" s="484"/>
      <c r="I64" s="485"/>
      <c r="J64" s="221"/>
      <c r="K64" s="32">
        <f t="shared" si="3"/>
        <v>0</v>
      </c>
    </row>
    <row r="65" spans="1:11" ht="45" x14ac:dyDescent="0.3">
      <c r="A65" s="16"/>
      <c r="B65" s="17"/>
      <c r="C65" s="25" t="s">
        <v>709</v>
      </c>
      <c r="D65" s="26" t="s">
        <v>207</v>
      </c>
      <c r="E65" s="71" t="s">
        <v>23</v>
      </c>
      <c r="F65" s="33">
        <f>2.3*2</f>
        <v>4.5999999999999996</v>
      </c>
      <c r="G65" s="29">
        <v>566000</v>
      </c>
      <c r="H65" s="37">
        <v>0.8</v>
      </c>
      <c r="I65" s="31">
        <v>1.1479999999999999</v>
      </c>
      <c r="J65" s="223">
        <f t="shared" ref="J65:J70" si="7">ROUND(F65*G65*H65*I65,-3)</f>
        <v>2391000</v>
      </c>
      <c r="K65" s="32">
        <f t="shared" si="3"/>
        <v>2391000</v>
      </c>
    </row>
    <row r="66" spans="1:11" ht="45" x14ac:dyDescent="0.3">
      <c r="A66" s="69"/>
      <c r="B66" s="8"/>
      <c r="C66" s="82" t="s">
        <v>892</v>
      </c>
      <c r="D66" s="34" t="s">
        <v>51</v>
      </c>
      <c r="E66" s="27" t="s">
        <v>23</v>
      </c>
      <c r="F66" s="89">
        <f>6.7*1.9</f>
        <v>12.73</v>
      </c>
      <c r="G66" s="29">
        <v>453000</v>
      </c>
      <c r="H66" s="37">
        <v>0.8</v>
      </c>
      <c r="I66" s="31">
        <v>1.1479999999999999</v>
      </c>
      <c r="J66" s="223">
        <f t="shared" si="7"/>
        <v>5296000</v>
      </c>
      <c r="K66" s="32">
        <f t="shared" si="3"/>
        <v>5296000</v>
      </c>
    </row>
    <row r="67" spans="1:11" ht="45" x14ac:dyDescent="0.3">
      <c r="A67" s="69"/>
      <c r="B67" s="8"/>
      <c r="C67" s="82" t="s">
        <v>710</v>
      </c>
      <c r="D67" s="34" t="s">
        <v>31</v>
      </c>
      <c r="E67" s="27" t="s">
        <v>23</v>
      </c>
      <c r="F67" s="89">
        <f>7*1.9</f>
        <v>13.299999999999999</v>
      </c>
      <c r="G67" s="29">
        <v>339000</v>
      </c>
      <c r="H67" s="37">
        <v>0.8</v>
      </c>
      <c r="I67" s="31">
        <v>1.1479999999999999</v>
      </c>
      <c r="J67" s="223">
        <f t="shared" si="7"/>
        <v>4141000</v>
      </c>
      <c r="K67" s="32">
        <f t="shared" si="3"/>
        <v>4141000</v>
      </c>
    </row>
    <row r="68" spans="1:11" ht="45" x14ac:dyDescent="0.3">
      <c r="A68" s="69"/>
      <c r="B68" s="8"/>
      <c r="C68" s="82" t="s">
        <v>711</v>
      </c>
      <c r="D68" s="42" t="s">
        <v>32</v>
      </c>
      <c r="E68" s="27" t="s">
        <v>23</v>
      </c>
      <c r="F68" s="89">
        <f>5.6*1.9</f>
        <v>10.639999999999999</v>
      </c>
      <c r="G68" s="29">
        <v>215000</v>
      </c>
      <c r="H68" s="37">
        <v>0.8</v>
      </c>
      <c r="I68" s="31">
        <v>1.1479999999999999</v>
      </c>
      <c r="J68" s="223">
        <f t="shared" si="7"/>
        <v>2101000</v>
      </c>
      <c r="K68" s="32">
        <f t="shared" si="3"/>
        <v>2101000</v>
      </c>
    </row>
    <row r="69" spans="1:11" ht="45" x14ac:dyDescent="0.3">
      <c r="A69" s="69"/>
      <c r="B69" s="8"/>
      <c r="C69" s="82" t="s">
        <v>186</v>
      </c>
      <c r="D69" s="62" t="s">
        <v>44</v>
      </c>
      <c r="E69" s="63" t="s">
        <v>45</v>
      </c>
      <c r="F69" s="89">
        <v>7</v>
      </c>
      <c r="G69" s="65">
        <v>28000</v>
      </c>
      <c r="H69" s="37">
        <v>0.8</v>
      </c>
      <c r="I69" s="31">
        <v>1.1479999999999999</v>
      </c>
      <c r="J69" s="223">
        <f t="shared" si="7"/>
        <v>180000</v>
      </c>
      <c r="K69" s="32">
        <f t="shared" si="3"/>
        <v>180000</v>
      </c>
    </row>
    <row r="70" spans="1:11" ht="45" x14ac:dyDescent="0.3">
      <c r="A70" s="69"/>
      <c r="B70" s="8"/>
      <c r="C70" s="82" t="s">
        <v>187</v>
      </c>
      <c r="D70" s="42" t="s">
        <v>47</v>
      </c>
      <c r="E70" s="63" t="s">
        <v>45</v>
      </c>
      <c r="F70" s="89">
        <v>7</v>
      </c>
      <c r="G70" s="46">
        <v>28000</v>
      </c>
      <c r="H70" s="37">
        <v>0.8</v>
      </c>
      <c r="I70" s="31">
        <v>1.1479999999999999</v>
      </c>
      <c r="J70" s="223">
        <f t="shared" si="7"/>
        <v>180000</v>
      </c>
      <c r="K70" s="32">
        <f t="shared" si="3"/>
        <v>180000</v>
      </c>
    </row>
    <row r="71" spans="1:11" x14ac:dyDescent="0.3">
      <c r="A71" s="16" t="s">
        <v>1285</v>
      </c>
      <c r="B71" s="17" t="s">
        <v>707</v>
      </c>
      <c r="C71" s="477" t="s">
        <v>713</v>
      </c>
      <c r="D71" s="478"/>
      <c r="E71" s="478"/>
      <c r="F71" s="478"/>
      <c r="G71" s="478"/>
      <c r="H71" s="478"/>
      <c r="I71" s="479"/>
      <c r="J71" s="221">
        <f>SUM(J73:J83)</f>
        <v>139013000</v>
      </c>
      <c r="K71" s="32">
        <f t="shared" si="3"/>
        <v>0</v>
      </c>
    </row>
    <row r="72" spans="1:11" x14ac:dyDescent="0.3">
      <c r="A72" s="18"/>
      <c r="B72" s="19"/>
      <c r="C72" s="483" t="s">
        <v>681</v>
      </c>
      <c r="D72" s="484"/>
      <c r="E72" s="484"/>
      <c r="F72" s="484"/>
      <c r="G72" s="484"/>
      <c r="H72" s="484"/>
      <c r="I72" s="485"/>
      <c r="J72" s="221"/>
      <c r="K72" s="32">
        <f t="shared" si="3"/>
        <v>0</v>
      </c>
    </row>
    <row r="73" spans="1:11" ht="75" x14ac:dyDescent="0.3">
      <c r="A73" s="18"/>
      <c r="B73" s="19"/>
      <c r="C73" s="20" t="s">
        <v>893</v>
      </c>
      <c r="D73" s="81" t="s">
        <v>435</v>
      </c>
      <c r="E73" s="27" t="s">
        <v>23</v>
      </c>
      <c r="F73" s="203">
        <f>7.2*4.4</f>
        <v>31.680000000000003</v>
      </c>
      <c r="G73" s="29">
        <v>3371000</v>
      </c>
      <c r="H73" s="37">
        <v>0.8</v>
      </c>
      <c r="I73" s="102">
        <v>1.1479999999999999</v>
      </c>
      <c r="J73" s="223">
        <f>ROUND(F73*G73*H73*I73,-3)</f>
        <v>98079000</v>
      </c>
      <c r="K73" s="32">
        <f t="shared" ref="K73:K132" si="8">ROUND(G73*H73*I73*F73,-3)</f>
        <v>98079000</v>
      </c>
    </row>
    <row r="74" spans="1:11" ht="45" x14ac:dyDescent="0.3">
      <c r="A74" s="16"/>
      <c r="B74" s="17"/>
      <c r="C74" s="25" t="s">
        <v>714</v>
      </c>
      <c r="D74" s="42" t="s">
        <v>225</v>
      </c>
      <c r="E74" s="96" t="s">
        <v>91</v>
      </c>
      <c r="F74" s="33">
        <f>4.4*7.2</f>
        <v>31.680000000000003</v>
      </c>
      <c r="G74" s="29">
        <v>527000</v>
      </c>
      <c r="H74" s="37">
        <v>0.8</v>
      </c>
      <c r="I74" s="151">
        <v>1.1479999999999999</v>
      </c>
      <c r="J74" s="223">
        <f t="shared" ref="J74:J83" si="9">ROUND(F74*G74*H74*I74,-3)</f>
        <v>15333000</v>
      </c>
      <c r="K74" s="32">
        <f t="shared" si="8"/>
        <v>15333000</v>
      </c>
    </row>
    <row r="75" spans="1:11" ht="45" x14ac:dyDescent="0.3">
      <c r="A75" s="16"/>
      <c r="B75" s="17"/>
      <c r="C75" s="25" t="s">
        <v>715</v>
      </c>
      <c r="D75" s="34" t="s">
        <v>68</v>
      </c>
      <c r="E75" s="168" t="s">
        <v>23</v>
      </c>
      <c r="F75" s="33">
        <f>7.2*4.4</f>
        <v>31.680000000000003</v>
      </c>
      <c r="G75" s="46">
        <v>213000</v>
      </c>
      <c r="H75" s="37">
        <v>0.8</v>
      </c>
      <c r="I75" s="31">
        <v>1.1479999999999999</v>
      </c>
      <c r="J75" s="223">
        <f t="shared" si="9"/>
        <v>6197000</v>
      </c>
      <c r="K75" s="32">
        <f t="shared" si="8"/>
        <v>6197000</v>
      </c>
    </row>
    <row r="76" spans="1:11" ht="45" x14ac:dyDescent="0.3">
      <c r="A76" s="69"/>
      <c r="B76" s="8"/>
      <c r="C76" s="82" t="s">
        <v>716</v>
      </c>
      <c r="D76" s="34" t="s">
        <v>52</v>
      </c>
      <c r="E76" s="71" t="s">
        <v>23</v>
      </c>
      <c r="F76" s="89">
        <f>4.2*3.5</f>
        <v>14.700000000000001</v>
      </c>
      <c r="G76" s="11" t="s">
        <v>53</v>
      </c>
      <c r="H76" s="37">
        <v>0.8</v>
      </c>
      <c r="I76" s="31">
        <v>1.1479999999999999</v>
      </c>
      <c r="J76" s="223">
        <f t="shared" si="9"/>
        <v>3186000</v>
      </c>
      <c r="K76" s="32">
        <f t="shared" si="8"/>
        <v>3186000</v>
      </c>
    </row>
    <row r="77" spans="1:11" ht="45" x14ac:dyDescent="0.3">
      <c r="A77" s="69"/>
      <c r="B77" s="8"/>
      <c r="C77" s="82" t="s">
        <v>717</v>
      </c>
      <c r="D77" s="42" t="s">
        <v>225</v>
      </c>
      <c r="E77" s="96" t="s">
        <v>91</v>
      </c>
      <c r="F77" s="89">
        <f>5.6*0.8</f>
        <v>4.4799999999999995</v>
      </c>
      <c r="G77" s="29">
        <v>527000</v>
      </c>
      <c r="H77" s="37">
        <v>0.8</v>
      </c>
      <c r="I77" s="151">
        <v>1.1479999999999999</v>
      </c>
      <c r="J77" s="223">
        <f t="shared" si="9"/>
        <v>2168000</v>
      </c>
      <c r="K77" s="32">
        <f t="shared" si="8"/>
        <v>2168000</v>
      </c>
    </row>
    <row r="78" spans="1:11" ht="45" x14ac:dyDescent="0.3">
      <c r="A78" s="69"/>
      <c r="B78" s="8"/>
      <c r="C78" s="82" t="s">
        <v>718</v>
      </c>
      <c r="D78" s="26" t="s">
        <v>24</v>
      </c>
      <c r="E78" s="84" t="s">
        <v>25</v>
      </c>
      <c r="F78" s="89">
        <f>4.4*1*0.15</f>
        <v>0.66</v>
      </c>
      <c r="G78" s="86">
        <v>2828000</v>
      </c>
      <c r="H78" s="37">
        <v>0.8</v>
      </c>
      <c r="I78" s="88">
        <v>1.1479999999999999</v>
      </c>
      <c r="J78" s="223">
        <f t="shared" si="9"/>
        <v>1714000</v>
      </c>
      <c r="K78" s="32">
        <f t="shared" si="8"/>
        <v>1714000</v>
      </c>
    </row>
    <row r="79" spans="1:11" ht="45" x14ac:dyDescent="0.3">
      <c r="A79" s="69"/>
      <c r="B79" s="8"/>
      <c r="C79" s="82" t="s">
        <v>894</v>
      </c>
      <c r="D79" s="34" t="s">
        <v>66</v>
      </c>
      <c r="E79" s="27" t="s">
        <v>23</v>
      </c>
      <c r="F79" s="89">
        <f>13.8*0.8+1.4*2.3+4.4*0.6</f>
        <v>16.900000000000002</v>
      </c>
      <c r="G79" s="29">
        <v>339000</v>
      </c>
      <c r="H79" s="37">
        <v>0.8</v>
      </c>
      <c r="I79" s="31">
        <v>1.1479999999999999</v>
      </c>
      <c r="J79" s="223">
        <f t="shared" si="9"/>
        <v>5262000</v>
      </c>
      <c r="K79" s="32">
        <f t="shared" si="8"/>
        <v>5262000</v>
      </c>
    </row>
    <row r="80" spans="1:11" ht="75" x14ac:dyDescent="0.3">
      <c r="A80" s="69"/>
      <c r="B80" s="8"/>
      <c r="C80" s="82" t="s">
        <v>719</v>
      </c>
      <c r="D80" s="34" t="s">
        <v>66</v>
      </c>
      <c r="E80" s="27" t="s">
        <v>23</v>
      </c>
      <c r="F80" s="89">
        <f>5*0.8+1*1.05+0.6*0.8+2.7*0.5+0.75*1.2</f>
        <v>7.7799999999999994</v>
      </c>
      <c r="G80" s="29">
        <v>339000</v>
      </c>
      <c r="H80" s="37">
        <v>0.8</v>
      </c>
      <c r="I80" s="31">
        <v>1.1479999999999999</v>
      </c>
      <c r="J80" s="223">
        <f t="shared" si="9"/>
        <v>2422000</v>
      </c>
      <c r="K80" s="32">
        <f t="shared" si="8"/>
        <v>2422000</v>
      </c>
    </row>
    <row r="81" spans="1:11" ht="45" x14ac:dyDescent="0.3">
      <c r="A81" s="69"/>
      <c r="B81" s="8"/>
      <c r="C81" s="82" t="s">
        <v>720</v>
      </c>
      <c r="D81" s="44" t="s">
        <v>33</v>
      </c>
      <c r="E81" s="27" t="s">
        <v>23</v>
      </c>
      <c r="F81" s="89">
        <f>6.2*0.8</f>
        <v>4.9600000000000009</v>
      </c>
      <c r="G81" s="29">
        <v>453000</v>
      </c>
      <c r="H81" s="37">
        <v>0.8</v>
      </c>
      <c r="I81" s="31">
        <v>1.1479999999999999</v>
      </c>
      <c r="J81" s="223">
        <f t="shared" si="9"/>
        <v>2064000</v>
      </c>
      <c r="K81" s="32">
        <f t="shared" si="8"/>
        <v>2064000</v>
      </c>
    </row>
    <row r="82" spans="1:11" ht="45" x14ac:dyDescent="0.3">
      <c r="A82" s="69"/>
      <c r="B82" s="8"/>
      <c r="C82" s="82" t="s">
        <v>895</v>
      </c>
      <c r="D82" s="34" t="s">
        <v>51</v>
      </c>
      <c r="E82" s="27" t="s">
        <v>23</v>
      </c>
      <c r="F82" s="89">
        <f>4.4*1.3</f>
        <v>5.7200000000000006</v>
      </c>
      <c r="G82" s="29">
        <v>453000</v>
      </c>
      <c r="H82" s="37">
        <v>0.8</v>
      </c>
      <c r="I82" s="31">
        <v>1.1479999999999999</v>
      </c>
      <c r="J82" s="223">
        <f t="shared" si="9"/>
        <v>2380000</v>
      </c>
      <c r="K82" s="32">
        <f t="shared" si="8"/>
        <v>2380000</v>
      </c>
    </row>
    <row r="83" spans="1:11" ht="45" x14ac:dyDescent="0.3">
      <c r="A83" s="69"/>
      <c r="B83" s="8"/>
      <c r="C83" s="82" t="s">
        <v>694</v>
      </c>
      <c r="D83" s="34" t="s">
        <v>97</v>
      </c>
      <c r="E83" s="71" t="s">
        <v>98</v>
      </c>
      <c r="F83" s="89">
        <v>1</v>
      </c>
      <c r="G83" s="36">
        <v>226000</v>
      </c>
      <c r="H83" s="37">
        <v>0.8</v>
      </c>
      <c r="I83" s="31">
        <v>1.1479999999999999</v>
      </c>
      <c r="J83" s="223">
        <f t="shared" si="9"/>
        <v>208000</v>
      </c>
      <c r="K83" s="32">
        <f t="shared" si="8"/>
        <v>208000</v>
      </c>
    </row>
    <row r="84" spans="1:11" x14ac:dyDescent="0.3">
      <c r="A84" s="16" t="s">
        <v>1286</v>
      </c>
      <c r="B84" s="17" t="s">
        <v>712</v>
      </c>
      <c r="C84" s="498" t="s">
        <v>722</v>
      </c>
      <c r="D84" s="499"/>
      <c r="E84" s="499"/>
      <c r="F84" s="499"/>
      <c r="G84" s="499"/>
      <c r="H84" s="499"/>
      <c r="I84" s="500"/>
      <c r="J84" s="221">
        <f>SUM(J86:J101)</f>
        <v>109277000</v>
      </c>
      <c r="K84" s="32">
        <f t="shared" si="8"/>
        <v>0</v>
      </c>
    </row>
    <row r="85" spans="1:11" x14ac:dyDescent="0.3">
      <c r="A85" s="18"/>
      <c r="B85" s="19"/>
      <c r="C85" s="483" t="s">
        <v>681</v>
      </c>
      <c r="D85" s="484"/>
      <c r="E85" s="484"/>
      <c r="F85" s="484"/>
      <c r="G85" s="484"/>
      <c r="H85" s="484"/>
      <c r="I85" s="485"/>
      <c r="J85" s="221"/>
      <c r="K85" s="32">
        <f t="shared" si="8"/>
        <v>0</v>
      </c>
    </row>
    <row r="86" spans="1:11" ht="75" x14ac:dyDescent="0.3">
      <c r="A86" s="69"/>
      <c r="B86" s="8"/>
      <c r="C86" s="25" t="s">
        <v>723</v>
      </c>
      <c r="D86" s="81" t="s">
        <v>435</v>
      </c>
      <c r="E86" s="27" t="s">
        <v>23</v>
      </c>
      <c r="F86" s="89">
        <f>3.1*7.2</f>
        <v>22.32</v>
      </c>
      <c r="G86" s="29">
        <v>3371000</v>
      </c>
      <c r="H86" s="37">
        <v>0.8</v>
      </c>
      <c r="I86" s="102">
        <v>1.1479999999999999</v>
      </c>
      <c r="J86" s="223">
        <f>ROUND(F86*G86*H86*I86,-3)</f>
        <v>69101000</v>
      </c>
      <c r="K86" s="32">
        <f t="shared" si="8"/>
        <v>69101000</v>
      </c>
    </row>
    <row r="87" spans="1:11" ht="45" x14ac:dyDescent="0.3">
      <c r="A87" s="69"/>
      <c r="B87" s="8"/>
      <c r="C87" s="82" t="s">
        <v>724</v>
      </c>
      <c r="D87" s="42" t="s">
        <v>225</v>
      </c>
      <c r="E87" s="96" t="s">
        <v>91</v>
      </c>
      <c r="F87" s="89">
        <f>3.1*7</f>
        <v>21.7</v>
      </c>
      <c r="G87" s="29">
        <v>527000</v>
      </c>
      <c r="H87" s="37">
        <v>0.8</v>
      </c>
      <c r="I87" s="151">
        <v>1.1479999999999999</v>
      </c>
      <c r="J87" s="223">
        <f t="shared" ref="J87:J101" si="10">ROUND(F87*G87*H87*I87,-3)</f>
        <v>10503000</v>
      </c>
      <c r="K87" s="32">
        <f t="shared" si="8"/>
        <v>10503000</v>
      </c>
    </row>
    <row r="88" spans="1:11" ht="45" x14ac:dyDescent="0.3">
      <c r="A88" s="69"/>
      <c r="B88" s="8"/>
      <c r="C88" s="82" t="s">
        <v>725</v>
      </c>
      <c r="D88" s="34" t="s">
        <v>52</v>
      </c>
      <c r="E88" s="71" t="s">
        <v>23</v>
      </c>
      <c r="F88" s="89">
        <f>3*6.8</f>
        <v>20.399999999999999</v>
      </c>
      <c r="G88" s="11" t="s">
        <v>53</v>
      </c>
      <c r="H88" s="37">
        <v>0.8</v>
      </c>
      <c r="I88" s="31">
        <v>1.1479999999999999</v>
      </c>
      <c r="J88" s="223">
        <f t="shared" si="10"/>
        <v>4422000</v>
      </c>
      <c r="K88" s="32">
        <f t="shared" si="8"/>
        <v>4422000</v>
      </c>
    </row>
    <row r="89" spans="1:11" ht="45" x14ac:dyDescent="0.3">
      <c r="A89" s="69"/>
      <c r="B89" s="8"/>
      <c r="C89" s="82" t="s">
        <v>726</v>
      </c>
      <c r="D89" s="34" t="s">
        <v>68</v>
      </c>
      <c r="E89" s="168" t="s">
        <v>23</v>
      </c>
      <c r="F89" s="89">
        <f>3.85*2.4+7*3</f>
        <v>30.240000000000002</v>
      </c>
      <c r="G89" s="46">
        <v>213000</v>
      </c>
      <c r="H89" s="37">
        <v>0.8</v>
      </c>
      <c r="I89" s="31">
        <v>1.1479999999999999</v>
      </c>
      <c r="J89" s="223">
        <f t="shared" si="10"/>
        <v>5916000</v>
      </c>
      <c r="K89" s="32">
        <f t="shared" si="8"/>
        <v>5916000</v>
      </c>
    </row>
    <row r="90" spans="1:11" ht="45" x14ac:dyDescent="0.3">
      <c r="A90" s="69"/>
      <c r="B90" s="8"/>
      <c r="C90" s="82" t="s">
        <v>727</v>
      </c>
      <c r="D90" s="26" t="s">
        <v>24</v>
      </c>
      <c r="E90" s="84" t="s">
        <v>25</v>
      </c>
      <c r="F90" s="89">
        <f>3.1*1.2*0.15</f>
        <v>0.55799999999999994</v>
      </c>
      <c r="G90" s="86">
        <v>2828000</v>
      </c>
      <c r="H90" s="37">
        <v>0.8</v>
      </c>
      <c r="I90" s="88">
        <v>1.1479999999999999</v>
      </c>
      <c r="J90" s="223">
        <f t="shared" si="10"/>
        <v>1449000</v>
      </c>
      <c r="K90" s="32">
        <f t="shared" si="8"/>
        <v>1449000</v>
      </c>
    </row>
    <row r="91" spans="1:11" ht="45" x14ac:dyDescent="0.3">
      <c r="A91" s="69"/>
      <c r="B91" s="8"/>
      <c r="C91" s="82" t="s">
        <v>728</v>
      </c>
      <c r="D91" s="44" t="s">
        <v>33</v>
      </c>
      <c r="E91" s="27" t="s">
        <v>23</v>
      </c>
      <c r="F91" s="89">
        <f>5*0.9</f>
        <v>4.5</v>
      </c>
      <c r="G91" s="29">
        <v>453000</v>
      </c>
      <c r="H91" s="37">
        <v>0.8</v>
      </c>
      <c r="I91" s="31">
        <v>1.1479999999999999</v>
      </c>
      <c r="J91" s="223">
        <f t="shared" si="10"/>
        <v>1872000</v>
      </c>
      <c r="K91" s="32">
        <f t="shared" si="8"/>
        <v>1872000</v>
      </c>
    </row>
    <row r="92" spans="1:11" ht="45" x14ac:dyDescent="0.3">
      <c r="A92" s="69"/>
      <c r="B92" s="8"/>
      <c r="C92" s="82" t="s">
        <v>896</v>
      </c>
      <c r="D92" s="34" t="s">
        <v>51</v>
      </c>
      <c r="E92" s="27" t="s">
        <v>23</v>
      </c>
      <c r="F92" s="89">
        <f>3.1*1.3</f>
        <v>4.03</v>
      </c>
      <c r="G92" s="29">
        <v>453000</v>
      </c>
      <c r="H92" s="37">
        <v>0.8</v>
      </c>
      <c r="I92" s="31">
        <v>1.1479999999999999</v>
      </c>
      <c r="J92" s="223">
        <f t="shared" si="10"/>
        <v>1677000</v>
      </c>
      <c r="K92" s="32">
        <f t="shared" si="8"/>
        <v>1677000</v>
      </c>
    </row>
    <row r="93" spans="1:11" ht="45" x14ac:dyDescent="0.3">
      <c r="A93" s="69"/>
      <c r="B93" s="8"/>
      <c r="C93" s="82" t="s">
        <v>729</v>
      </c>
      <c r="D93" s="42" t="s">
        <v>225</v>
      </c>
      <c r="E93" s="96" t="s">
        <v>91</v>
      </c>
      <c r="F93" s="89">
        <f>0.7*1.7</f>
        <v>1.19</v>
      </c>
      <c r="G93" s="29">
        <v>527000</v>
      </c>
      <c r="H93" s="37">
        <v>0.8</v>
      </c>
      <c r="I93" s="151">
        <v>1.1479999999999999</v>
      </c>
      <c r="J93" s="223">
        <f t="shared" si="10"/>
        <v>576000</v>
      </c>
      <c r="K93" s="32">
        <f t="shared" si="8"/>
        <v>576000</v>
      </c>
    </row>
    <row r="94" spans="1:11" ht="45" x14ac:dyDescent="0.3">
      <c r="A94" s="69"/>
      <c r="B94" s="8"/>
      <c r="C94" s="70" t="s">
        <v>730</v>
      </c>
      <c r="D94" s="34" t="s">
        <v>52</v>
      </c>
      <c r="E94" s="27" t="s">
        <v>23</v>
      </c>
      <c r="F94" s="89">
        <f>4.9*2.4</f>
        <v>11.76</v>
      </c>
      <c r="G94" s="11" t="s">
        <v>53</v>
      </c>
      <c r="H94" s="37">
        <v>0.8</v>
      </c>
      <c r="I94" s="78">
        <v>1.1479999999999999</v>
      </c>
      <c r="J94" s="223">
        <f t="shared" si="10"/>
        <v>2549000</v>
      </c>
      <c r="K94" s="32">
        <f t="shared" si="8"/>
        <v>2549000</v>
      </c>
    </row>
    <row r="95" spans="1:11" ht="45" x14ac:dyDescent="0.3">
      <c r="A95" s="69"/>
      <c r="B95" s="8"/>
      <c r="C95" s="82" t="s">
        <v>731</v>
      </c>
      <c r="D95" s="34" t="s">
        <v>28</v>
      </c>
      <c r="E95" s="27" t="s">
        <v>23</v>
      </c>
      <c r="F95" s="89">
        <f>2.3*0.7</f>
        <v>1.6099999999999999</v>
      </c>
      <c r="G95" s="11">
        <v>396000</v>
      </c>
      <c r="H95" s="37">
        <v>0.8</v>
      </c>
      <c r="I95" s="31">
        <v>1.1479999999999999</v>
      </c>
      <c r="J95" s="223">
        <f t="shared" si="10"/>
        <v>586000</v>
      </c>
      <c r="K95" s="32">
        <f t="shared" si="8"/>
        <v>586000</v>
      </c>
    </row>
    <row r="96" spans="1:11" ht="45" x14ac:dyDescent="0.3">
      <c r="A96" s="69"/>
      <c r="B96" s="8"/>
      <c r="C96" s="82" t="s">
        <v>897</v>
      </c>
      <c r="D96" s="34" t="s">
        <v>66</v>
      </c>
      <c r="E96" s="27" t="s">
        <v>23</v>
      </c>
      <c r="F96" s="89">
        <f>3.7*1.8+4.8*1.8+13.1*0.15</f>
        <v>17.265000000000001</v>
      </c>
      <c r="G96" s="29">
        <v>339000</v>
      </c>
      <c r="H96" s="37">
        <v>0.8</v>
      </c>
      <c r="I96" s="31">
        <v>1.1479999999999999</v>
      </c>
      <c r="J96" s="223">
        <f t="shared" si="10"/>
        <v>5375000</v>
      </c>
      <c r="K96" s="32">
        <f t="shared" si="8"/>
        <v>5375000</v>
      </c>
    </row>
    <row r="97" spans="1:11" ht="45" x14ac:dyDescent="0.3">
      <c r="A97" s="69"/>
      <c r="B97" s="8"/>
      <c r="C97" s="82" t="s">
        <v>898</v>
      </c>
      <c r="D97" s="26" t="s">
        <v>95</v>
      </c>
      <c r="E97" s="71" t="s">
        <v>25</v>
      </c>
      <c r="F97" s="89">
        <f>2.9*0.7*0.15</f>
        <v>0.30449999999999994</v>
      </c>
      <c r="G97" s="11">
        <v>1000000</v>
      </c>
      <c r="H97" s="37">
        <v>0.8</v>
      </c>
      <c r="I97" s="31">
        <v>1.1479999999999999</v>
      </c>
      <c r="J97" s="223">
        <f t="shared" si="10"/>
        <v>280000</v>
      </c>
      <c r="K97" s="32">
        <f t="shared" si="8"/>
        <v>280000</v>
      </c>
    </row>
    <row r="98" spans="1:11" ht="45" x14ac:dyDescent="0.3">
      <c r="A98" s="69"/>
      <c r="B98" s="8"/>
      <c r="C98" s="82" t="s">
        <v>732</v>
      </c>
      <c r="D98" s="42" t="s">
        <v>32</v>
      </c>
      <c r="E98" s="27" t="s">
        <v>23</v>
      </c>
      <c r="F98" s="10">
        <f>5.3*3.1</f>
        <v>16.43</v>
      </c>
      <c r="G98" s="29">
        <v>215000</v>
      </c>
      <c r="H98" s="37">
        <v>0.8</v>
      </c>
      <c r="I98" s="31">
        <v>1.1479999999999999</v>
      </c>
      <c r="J98" s="223">
        <f t="shared" si="10"/>
        <v>3244000</v>
      </c>
      <c r="K98" s="32">
        <f t="shared" si="8"/>
        <v>3244000</v>
      </c>
    </row>
    <row r="99" spans="1:11" ht="45" x14ac:dyDescent="0.3">
      <c r="A99" s="69"/>
      <c r="B99" s="8"/>
      <c r="C99" s="82" t="s">
        <v>186</v>
      </c>
      <c r="D99" s="62" t="s">
        <v>44</v>
      </c>
      <c r="E99" s="63" t="s">
        <v>45</v>
      </c>
      <c r="F99" s="10">
        <v>7</v>
      </c>
      <c r="G99" s="65">
        <v>28000</v>
      </c>
      <c r="H99" s="37">
        <v>0.8</v>
      </c>
      <c r="I99" s="31">
        <v>1.1479999999999999</v>
      </c>
      <c r="J99" s="223">
        <f t="shared" si="10"/>
        <v>180000</v>
      </c>
      <c r="K99" s="32">
        <f t="shared" si="8"/>
        <v>180000</v>
      </c>
    </row>
    <row r="100" spans="1:11" ht="45" x14ac:dyDescent="0.3">
      <c r="A100" s="104"/>
      <c r="B100" s="105"/>
      <c r="C100" s="113" t="s">
        <v>187</v>
      </c>
      <c r="D100" s="42" t="s">
        <v>47</v>
      </c>
      <c r="E100" s="63" t="s">
        <v>45</v>
      </c>
      <c r="F100" s="205">
        <v>7</v>
      </c>
      <c r="G100" s="46">
        <v>28000</v>
      </c>
      <c r="H100" s="37">
        <v>0.8</v>
      </c>
      <c r="I100" s="31">
        <v>1.1479999999999999</v>
      </c>
      <c r="J100" s="223">
        <f t="shared" si="10"/>
        <v>180000</v>
      </c>
      <c r="K100" s="32">
        <f t="shared" si="8"/>
        <v>180000</v>
      </c>
    </row>
    <row r="101" spans="1:11" ht="45" x14ac:dyDescent="0.3">
      <c r="A101" s="69"/>
      <c r="B101" s="8"/>
      <c r="C101" s="82" t="s">
        <v>899</v>
      </c>
      <c r="D101" s="34" t="s">
        <v>66</v>
      </c>
      <c r="E101" s="27" t="s">
        <v>23</v>
      </c>
      <c r="F101" s="205">
        <f>2.3*1.1+3.1*0.6</f>
        <v>4.3899999999999997</v>
      </c>
      <c r="G101" s="29">
        <v>339000</v>
      </c>
      <c r="H101" s="37">
        <v>0.8</v>
      </c>
      <c r="I101" s="31">
        <v>1.1479999999999999</v>
      </c>
      <c r="J101" s="223">
        <f t="shared" si="10"/>
        <v>1367000</v>
      </c>
      <c r="K101" s="32">
        <f t="shared" si="8"/>
        <v>1367000</v>
      </c>
    </row>
    <row r="102" spans="1:11" x14ac:dyDescent="0.3">
      <c r="A102" s="16" t="s">
        <v>1287</v>
      </c>
      <c r="B102" s="17" t="s">
        <v>721</v>
      </c>
      <c r="C102" s="433" t="s">
        <v>734</v>
      </c>
      <c r="D102" s="434"/>
      <c r="E102" s="434"/>
      <c r="F102" s="434"/>
      <c r="G102" s="434"/>
      <c r="H102" s="434"/>
      <c r="I102" s="435"/>
      <c r="J102" s="221">
        <f>SUM(J104:J115)</f>
        <v>111661000</v>
      </c>
      <c r="K102" s="32">
        <f t="shared" si="8"/>
        <v>0</v>
      </c>
    </row>
    <row r="103" spans="1:11" x14ac:dyDescent="0.3">
      <c r="A103" s="18"/>
      <c r="B103" s="19"/>
      <c r="C103" s="483" t="s">
        <v>681</v>
      </c>
      <c r="D103" s="484"/>
      <c r="E103" s="484"/>
      <c r="F103" s="484"/>
      <c r="G103" s="484"/>
      <c r="H103" s="484"/>
      <c r="I103" s="485"/>
      <c r="J103" s="221"/>
      <c r="K103" s="32">
        <f t="shared" si="8"/>
        <v>0</v>
      </c>
    </row>
    <row r="104" spans="1:11" ht="93.75" x14ac:dyDescent="0.3">
      <c r="A104" s="69"/>
      <c r="B104" s="8"/>
      <c r="C104" s="82" t="s">
        <v>735</v>
      </c>
      <c r="D104" s="81" t="s">
        <v>435</v>
      </c>
      <c r="E104" s="27" t="s">
        <v>23</v>
      </c>
      <c r="F104" s="89">
        <f>3.25*7.2</f>
        <v>23.400000000000002</v>
      </c>
      <c r="G104" s="29">
        <v>3371000</v>
      </c>
      <c r="H104" s="37">
        <v>0.8</v>
      </c>
      <c r="I104" s="102">
        <v>1.1479999999999999</v>
      </c>
      <c r="J104" s="223">
        <f>ROUND(F104*G104*H104*I104,-3)</f>
        <v>72445000</v>
      </c>
      <c r="K104" s="32">
        <f t="shared" si="8"/>
        <v>72445000</v>
      </c>
    </row>
    <row r="105" spans="1:11" ht="45" x14ac:dyDescent="0.3">
      <c r="A105" s="69"/>
      <c r="B105" s="8"/>
      <c r="C105" s="83" t="s">
        <v>736</v>
      </c>
      <c r="D105" s="42" t="s">
        <v>225</v>
      </c>
      <c r="E105" s="96" t="s">
        <v>91</v>
      </c>
      <c r="F105" s="85">
        <f>3.25*7.2</f>
        <v>23.400000000000002</v>
      </c>
      <c r="G105" s="29">
        <v>527000</v>
      </c>
      <c r="H105" s="37">
        <v>0.8</v>
      </c>
      <c r="I105" s="151">
        <v>1.1479999999999999</v>
      </c>
      <c r="J105" s="223">
        <f t="shared" ref="J105:J115" si="11">ROUND(F105*G105*H105*I105,-3)</f>
        <v>11326000</v>
      </c>
      <c r="K105" s="32">
        <f t="shared" si="8"/>
        <v>11326000</v>
      </c>
    </row>
    <row r="106" spans="1:11" ht="45" x14ac:dyDescent="0.3">
      <c r="A106" s="69"/>
      <c r="B106" s="8"/>
      <c r="C106" s="82" t="s">
        <v>737</v>
      </c>
      <c r="D106" s="34" t="s">
        <v>68</v>
      </c>
      <c r="E106" s="168" t="s">
        <v>23</v>
      </c>
      <c r="F106" s="89">
        <f>(3*7)*2</f>
        <v>42</v>
      </c>
      <c r="G106" s="46">
        <v>213000</v>
      </c>
      <c r="H106" s="37">
        <v>0.8</v>
      </c>
      <c r="I106" s="31">
        <v>1.1479999999999999</v>
      </c>
      <c r="J106" s="223">
        <f t="shared" si="11"/>
        <v>8216000</v>
      </c>
      <c r="K106" s="32">
        <f t="shared" si="8"/>
        <v>8216000</v>
      </c>
    </row>
    <row r="107" spans="1:11" ht="45" x14ac:dyDescent="0.3">
      <c r="A107" s="69"/>
      <c r="B107" s="8"/>
      <c r="C107" s="82" t="s">
        <v>900</v>
      </c>
      <c r="D107" s="34" t="s">
        <v>51</v>
      </c>
      <c r="E107" s="27" t="s">
        <v>23</v>
      </c>
      <c r="F107" s="89">
        <f>3.3*1.3</f>
        <v>4.29</v>
      </c>
      <c r="G107" s="29">
        <v>453000</v>
      </c>
      <c r="H107" s="37">
        <v>0.8</v>
      </c>
      <c r="I107" s="31">
        <v>1.1479999999999999</v>
      </c>
      <c r="J107" s="223">
        <f t="shared" si="11"/>
        <v>1785000</v>
      </c>
      <c r="K107" s="32">
        <f t="shared" si="8"/>
        <v>1785000</v>
      </c>
    </row>
    <row r="108" spans="1:11" ht="45" x14ac:dyDescent="0.3">
      <c r="A108" s="69"/>
      <c r="B108" s="8"/>
      <c r="C108" s="82" t="s">
        <v>738</v>
      </c>
      <c r="D108" s="26" t="s">
        <v>24</v>
      </c>
      <c r="E108" s="84" t="s">
        <v>25</v>
      </c>
      <c r="F108" s="89">
        <f>3.25*1*0.15</f>
        <v>0.48749999999999999</v>
      </c>
      <c r="G108" s="86">
        <v>2828000</v>
      </c>
      <c r="H108" s="37">
        <v>0.8</v>
      </c>
      <c r="I108" s="88">
        <v>1.1479999999999999</v>
      </c>
      <c r="J108" s="223">
        <f t="shared" si="11"/>
        <v>1266000</v>
      </c>
      <c r="K108" s="32">
        <f t="shared" si="8"/>
        <v>1266000</v>
      </c>
    </row>
    <row r="109" spans="1:11" ht="56.25" x14ac:dyDescent="0.3">
      <c r="A109" s="69"/>
      <c r="B109" s="8"/>
      <c r="C109" s="82" t="s">
        <v>739</v>
      </c>
      <c r="D109" s="34" t="s">
        <v>66</v>
      </c>
      <c r="E109" s="27" t="s">
        <v>23</v>
      </c>
      <c r="F109" s="89">
        <f>1.2*2.2+3.25*0.6+12.7*0.8+2.3*1.6</f>
        <v>18.43</v>
      </c>
      <c r="G109" s="29">
        <v>339000</v>
      </c>
      <c r="H109" s="37">
        <v>0.8</v>
      </c>
      <c r="I109" s="31">
        <v>1.1479999999999999</v>
      </c>
      <c r="J109" s="223">
        <f t="shared" si="11"/>
        <v>5738000</v>
      </c>
      <c r="K109" s="32">
        <f t="shared" si="8"/>
        <v>5738000</v>
      </c>
    </row>
    <row r="110" spans="1:11" ht="45" x14ac:dyDescent="0.3">
      <c r="A110" s="69"/>
      <c r="B110" s="8"/>
      <c r="C110" s="82" t="s">
        <v>901</v>
      </c>
      <c r="D110" s="34" t="s">
        <v>66</v>
      </c>
      <c r="E110" s="27" t="s">
        <v>23</v>
      </c>
      <c r="F110" s="89">
        <f>4.1*1.7+1.5*1.7+3*2.8</f>
        <v>17.919999999999998</v>
      </c>
      <c r="G110" s="29">
        <v>339000</v>
      </c>
      <c r="H110" s="37">
        <v>0.8</v>
      </c>
      <c r="I110" s="31">
        <v>1.1479999999999999</v>
      </c>
      <c r="J110" s="223">
        <f t="shared" si="11"/>
        <v>5579000</v>
      </c>
      <c r="K110" s="32">
        <f t="shared" si="8"/>
        <v>5579000</v>
      </c>
    </row>
    <row r="111" spans="1:11" ht="45" x14ac:dyDescent="0.3">
      <c r="A111" s="69"/>
      <c r="B111" s="8"/>
      <c r="C111" s="82" t="s">
        <v>186</v>
      </c>
      <c r="D111" s="62" t="s">
        <v>44</v>
      </c>
      <c r="E111" s="63" t="s">
        <v>45</v>
      </c>
      <c r="F111" s="89">
        <v>7</v>
      </c>
      <c r="G111" s="65">
        <v>28000</v>
      </c>
      <c r="H111" s="37">
        <v>0.8</v>
      </c>
      <c r="I111" s="31">
        <v>1.1479999999999999</v>
      </c>
      <c r="J111" s="223">
        <f t="shared" si="11"/>
        <v>180000</v>
      </c>
      <c r="K111" s="32">
        <f t="shared" si="8"/>
        <v>180000</v>
      </c>
    </row>
    <row r="112" spans="1:11" ht="45" x14ac:dyDescent="0.3">
      <c r="A112" s="69"/>
      <c r="B112" s="8"/>
      <c r="C112" s="82" t="s">
        <v>187</v>
      </c>
      <c r="D112" s="42" t="s">
        <v>47</v>
      </c>
      <c r="E112" s="63" t="s">
        <v>45</v>
      </c>
      <c r="F112" s="89">
        <v>7</v>
      </c>
      <c r="G112" s="46">
        <v>28000</v>
      </c>
      <c r="H112" s="37">
        <v>0.8</v>
      </c>
      <c r="I112" s="31">
        <v>1.1479999999999999</v>
      </c>
      <c r="J112" s="223">
        <f t="shared" si="11"/>
        <v>180000</v>
      </c>
      <c r="K112" s="32">
        <f t="shared" si="8"/>
        <v>180000</v>
      </c>
    </row>
    <row r="113" spans="1:11" ht="45" x14ac:dyDescent="0.3">
      <c r="A113" s="69"/>
      <c r="B113" s="8"/>
      <c r="C113" s="82" t="s">
        <v>740</v>
      </c>
      <c r="D113" s="42" t="s">
        <v>32</v>
      </c>
      <c r="E113" s="27" t="s">
        <v>23</v>
      </c>
      <c r="F113" s="89">
        <f>4.6*3.25</f>
        <v>14.95</v>
      </c>
      <c r="G113" s="29">
        <v>215000</v>
      </c>
      <c r="H113" s="37">
        <v>0.8</v>
      </c>
      <c r="I113" s="31">
        <v>1.1479999999999999</v>
      </c>
      <c r="J113" s="223">
        <f t="shared" si="11"/>
        <v>2952000</v>
      </c>
      <c r="K113" s="32">
        <f t="shared" si="8"/>
        <v>2952000</v>
      </c>
    </row>
    <row r="114" spans="1:11" ht="45" x14ac:dyDescent="0.3">
      <c r="A114" s="69"/>
      <c r="B114" s="8"/>
      <c r="C114" s="82" t="s">
        <v>741</v>
      </c>
      <c r="D114" s="44" t="s">
        <v>33</v>
      </c>
      <c r="E114" s="27" t="s">
        <v>23</v>
      </c>
      <c r="F114" s="89">
        <f>5.05*0.8</f>
        <v>4.04</v>
      </c>
      <c r="G114" s="29">
        <v>453000</v>
      </c>
      <c r="H114" s="37">
        <v>0.8</v>
      </c>
      <c r="I114" s="31">
        <v>1.1479999999999999</v>
      </c>
      <c r="J114" s="223">
        <f t="shared" si="11"/>
        <v>1681000</v>
      </c>
      <c r="K114" s="32">
        <f t="shared" si="8"/>
        <v>1681000</v>
      </c>
    </row>
    <row r="115" spans="1:11" ht="45" x14ac:dyDescent="0.3">
      <c r="A115" s="69"/>
      <c r="B115" s="8"/>
      <c r="C115" s="82" t="s">
        <v>902</v>
      </c>
      <c r="D115" s="26" t="s">
        <v>95</v>
      </c>
      <c r="E115" s="71" t="s">
        <v>25</v>
      </c>
      <c r="F115" s="89">
        <f>3.25*0.7*0.15</f>
        <v>0.34125</v>
      </c>
      <c r="G115" s="11">
        <v>1000000</v>
      </c>
      <c r="H115" s="37">
        <v>0.8</v>
      </c>
      <c r="I115" s="31">
        <v>1.1479999999999999</v>
      </c>
      <c r="J115" s="223">
        <f t="shared" si="11"/>
        <v>313000</v>
      </c>
      <c r="K115" s="32">
        <f t="shared" si="8"/>
        <v>313000</v>
      </c>
    </row>
    <row r="116" spans="1:11" x14ac:dyDescent="0.3">
      <c r="A116" s="67" t="s">
        <v>1288</v>
      </c>
      <c r="B116" s="68" t="s">
        <v>733</v>
      </c>
      <c r="C116" s="433" t="s">
        <v>1262</v>
      </c>
      <c r="D116" s="434"/>
      <c r="E116" s="434"/>
      <c r="F116" s="434"/>
      <c r="G116" s="434"/>
      <c r="H116" s="434"/>
      <c r="I116" s="435"/>
      <c r="J116" s="221">
        <f>SUM(J118:J132)</f>
        <v>129174000</v>
      </c>
      <c r="K116" s="32">
        <f t="shared" si="8"/>
        <v>0</v>
      </c>
    </row>
    <row r="117" spans="1:11" x14ac:dyDescent="0.3">
      <c r="A117" s="18"/>
      <c r="B117" s="19"/>
      <c r="C117" s="483" t="s">
        <v>681</v>
      </c>
      <c r="D117" s="484"/>
      <c r="E117" s="484"/>
      <c r="F117" s="484"/>
      <c r="G117" s="484"/>
      <c r="H117" s="484"/>
      <c r="I117" s="485"/>
      <c r="J117" s="221"/>
      <c r="K117" s="32">
        <f t="shared" si="8"/>
        <v>0</v>
      </c>
    </row>
    <row r="118" spans="1:11" ht="93.75" x14ac:dyDescent="0.3">
      <c r="A118" s="69"/>
      <c r="B118" s="8"/>
      <c r="C118" s="82" t="s">
        <v>742</v>
      </c>
      <c r="D118" s="81" t="s">
        <v>435</v>
      </c>
      <c r="E118" s="27" t="s">
        <v>23</v>
      </c>
      <c r="F118" s="89">
        <f>3.2*7.2</f>
        <v>23.040000000000003</v>
      </c>
      <c r="G118" s="29">
        <v>3371000</v>
      </c>
      <c r="H118" s="37">
        <v>0.8</v>
      </c>
      <c r="I118" s="102">
        <v>1.1479999999999999</v>
      </c>
      <c r="J118" s="223">
        <f>ROUND(F118*G118*H118*I118,-3)</f>
        <v>71330000</v>
      </c>
      <c r="K118" s="32">
        <f t="shared" si="8"/>
        <v>71330000</v>
      </c>
    </row>
    <row r="119" spans="1:11" ht="45" x14ac:dyDescent="0.3">
      <c r="A119" s="69"/>
      <c r="B119" s="8"/>
      <c r="C119" s="82" t="s">
        <v>743</v>
      </c>
      <c r="D119" s="42" t="s">
        <v>225</v>
      </c>
      <c r="E119" s="96" t="s">
        <v>91</v>
      </c>
      <c r="F119" s="89">
        <f>3.2*7.2</f>
        <v>23.040000000000003</v>
      </c>
      <c r="G119" s="29">
        <v>527000</v>
      </c>
      <c r="H119" s="37">
        <v>0.8</v>
      </c>
      <c r="I119" s="151">
        <v>1.1479999999999999</v>
      </c>
      <c r="J119" s="223">
        <f t="shared" ref="J119:J129" si="12">ROUND(F119*G119*H119*I119,-3)</f>
        <v>11151000</v>
      </c>
      <c r="K119" s="32">
        <f t="shared" si="8"/>
        <v>11151000</v>
      </c>
    </row>
    <row r="120" spans="1:11" ht="45" x14ac:dyDescent="0.3">
      <c r="A120" s="69"/>
      <c r="B120" s="8"/>
      <c r="C120" s="82" t="s">
        <v>903</v>
      </c>
      <c r="D120" s="26" t="s">
        <v>24</v>
      </c>
      <c r="E120" s="84" t="s">
        <v>25</v>
      </c>
      <c r="F120" s="89">
        <f>11.2*1*0.15+3.2*7.2*0.1</f>
        <v>3.984</v>
      </c>
      <c r="G120" s="86">
        <v>2828000</v>
      </c>
      <c r="H120" s="37">
        <v>0.8</v>
      </c>
      <c r="I120" s="88">
        <v>1.1479999999999999</v>
      </c>
      <c r="J120" s="223">
        <f t="shared" si="12"/>
        <v>10347000</v>
      </c>
      <c r="K120" s="32">
        <f t="shared" si="8"/>
        <v>10347000</v>
      </c>
    </row>
    <row r="121" spans="1:11" ht="45" x14ac:dyDescent="0.3">
      <c r="A121" s="69"/>
      <c r="B121" s="8"/>
      <c r="C121" s="82" t="s">
        <v>744</v>
      </c>
      <c r="D121" s="34" t="s">
        <v>68</v>
      </c>
      <c r="E121" s="168" t="s">
        <v>23</v>
      </c>
      <c r="F121" s="89">
        <f>(7*3.05)*2</f>
        <v>42.699999999999996</v>
      </c>
      <c r="G121" s="46">
        <v>213000</v>
      </c>
      <c r="H121" s="37">
        <v>0.8</v>
      </c>
      <c r="I121" s="31">
        <v>1.1479999999999999</v>
      </c>
      <c r="J121" s="223">
        <f t="shared" si="12"/>
        <v>8353000</v>
      </c>
      <c r="K121" s="32">
        <f t="shared" si="8"/>
        <v>8353000</v>
      </c>
    </row>
    <row r="122" spans="1:11" ht="45" x14ac:dyDescent="0.3">
      <c r="A122" s="93"/>
      <c r="B122" s="94"/>
      <c r="C122" s="70" t="s">
        <v>745</v>
      </c>
      <c r="D122" s="34" t="s">
        <v>101</v>
      </c>
      <c r="E122" s="71" t="s">
        <v>23</v>
      </c>
      <c r="F122" s="99">
        <f>11.2*0.8</f>
        <v>8.9599999999999991</v>
      </c>
      <c r="G122" s="29">
        <v>339000</v>
      </c>
      <c r="H122" s="37">
        <v>0.8</v>
      </c>
      <c r="I122" s="31">
        <v>1.1479999999999999</v>
      </c>
      <c r="J122" s="223">
        <f t="shared" si="12"/>
        <v>2790000</v>
      </c>
      <c r="K122" s="32">
        <f t="shared" si="8"/>
        <v>2790000</v>
      </c>
    </row>
    <row r="123" spans="1:11" ht="45" x14ac:dyDescent="0.3">
      <c r="A123" s="69"/>
      <c r="B123" s="8"/>
      <c r="C123" s="83" t="s">
        <v>746</v>
      </c>
      <c r="D123" s="44" t="s">
        <v>33</v>
      </c>
      <c r="E123" s="27" t="s">
        <v>23</v>
      </c>
      <c r="F123" s="206">
        <f>12.5*0.8</f>
        <v>10</v>
      </c>
      <c r="G123" s="29">
        <v>453000</v>
      </c>
      <c r="H123" s="37">
        <v>0.8</v>
      </c>
      <c r="I123" s="31">
        <v>1.1479999999999999</v>
      </c>
      <c r="J123" s="223">
        <f t="shared" si="12"/>
        <v>4160000</v>
      </c>
      <c r="K123" s="32">
        <f t="shared" si="8"/>
        <v>4160000</v>
      </c>
    </row>
    <row r="124" spans="1:11" ht="45" x14ac:dyDescent="0.3">
      <c r="A124" s="104"/>
      <c r="B124" s="105"/>
      <c r="C124" s="82" t="s">
        <v>904</v>
      </c>
      <c r="D124" s="34" t="s">
        <v>51</v>
      </c>
      <c r="E124" s="27" t="s">
        <v>23</v>
      </c>
      <c r="F124" s="89">
        <f>1.3*11.2</f>
        <v>14.559999999999999</v>
      </c>
      <c r="G124" s="29">
        <v>453000</v>
      </c>
      <c r="H124" s="37">
        <v>0.8</v>
      </c>
      <c r="I124" s="31">
        <v>1.1479999999999999</v>
      </c>
      <c r="J124" s="223">
        <f t="shared" si="12"/>
        <v>6057000</v>
      </c>
      <c r="K124" s="32">
        <f t="shared" si="8"/>
        <v>6057000</v>
      </c>
    </row>
    <row r="125" spans="1:11" ht="45" x14ac:dyDescent="0.3">
      <c r="A125" s="69"/>
      <c r="B125" s="8"/>
      <c r="C125" s="106" t="s">
        <v>747</v>
      </c>
      <c r="D125" s="34" t="s">
        <v>66</v>
      </c>
      <c r="E125" s="27" t="s">
        <v>23</v>
      </c>
      <c r="F125" s="207">
        <f>10.6*0.15+10.4*0.15+1.4*2.2</f>
        <v>6.23</v>
      </c>
      <c r="G125" s="29">
        <v>339000</v>
      </c>
      <c r="H125" s="37">
        <v>0.8</v>
      </c>
      <c r="I125" s="31">
        <v>1.1479999999999999</v>
      </c>
      <c r="J125" s="223">
        <f t="shared" si="12"/>
        <v>1940000</v>
      </c>
      <c r="K125" s="32">
        <f t="shared" si="8"/>
        <v>1940000</v>
      </c>
    </row>
    <row r="126" spans="1:11" ht="45" x14ac:dyDescent="0.3">
      <c r="A126" s="69"/>
      <c r="B126" s="8"/>
      <c r="C126" s="82" t="s">
        <v>748</v>
      </c>
      <c r="D126" s="42" t="s">
        <v>54</v>
      </c>
      <c r="E126" s="27" t="s">
        <v>23</v>
      </c>
      <c r="F126" s="89">
        <f>3.5*2.6</f>
        <v>9.1</v>
      </c>
      <c r="G126" s="46">
        <v>213000</v>
      </c>
      <c r="H126" s="37">
        <v>0.8</v>
      </c>
      <c r="I126" s="57">
        <v>1.1479999999999999</v>
      </c>
      <c r="J126" s="223">
        <f t="shared" si="12"/>
        <v>1780000</v>
      </c>
      <c r="K126" s="32">
        <f t="shared" si="8"/>
        <v>1780000</v>
      </c>
    </row>
    <row r="127" spans="1:11" ht="75" x14ac:dyDescent="0.3">
      <c r="A127" s="107"/>
      <c r="B127" s="84"/>
      <c r="C127" s="106" t="s">
        <v>749</v>
      </c>
      <c r="D127" s="34" t="s">
        <v>66</v>
      </c>
      <c r="E127" s="27" t="s">
        <v>23</v>
      </c>
      <c r="F127" s="206">
        <f>4.7*1.9+(2.5*0.3)*3+1.2*1.9+1.4*2.5</f>
        <v>16.96</v>
      </c>
      <c r="G127" s="29">
        <v>339000</v>
      </c>
      <c r="H127" s="37">
        <v>0.8</v>
      </c>
      <c r="I127" s="31">
        <v>1.1479999999999999</v>
      </c>
      <c r="J127" s="223">
        <f t="shared" si="12"/>
        <v>5280000</v>
      </c>
      <c r="K127" s="32">
        <f t="shared" si="8"/>
        <v>5280000</v>
      </c>
    </row>
    <row r="128" spans="1:11" ht="45" x14ac:dyDescent="0.3">
      <c r="A128" s="69"/>
      <c r="B128" s="8"/>
      <c r="C128" s="82" t="s">
        <v>750</v>
      </c>
      <c r="D128" s="34" t="s">
        <v>66</v>
      </c>
      <c r="E128" s="27" t="s">
        <v>23</v>
      </c>
      <c r="F128" s="89">
        <f>0.6*3.25+1.1*1.4+(1.1*0.6)*6</f>
        <v>7.45</v>
      </c>
      <c r="G128" s="29">
        <v>339000</v>
      </c>
      <c r="H128" s="37">
        <v>0.8</v>
      </c>
      <c r="I128" s="31">
        <v>1.1479999999999999</v>
      </c>
      <c r="J128" s="223">
        <f t="shared" si="12"/>
        <v>2319000</v>
      </c>
      <c r="K128" s="32">
        <f t="shared" si="8"/>
        <v>2319000</v>
      </c>
    </row>
    <row r="129" spans="1:13" ht="45" x14ac:dyDescent="0.3">
      <c r="A129" s="69"/>
      <c r="B129" s="8"/>
      <c r="C129" s="82" t="s">
        <v>751</v>
      </c>
      <c r="D129" s="42" t="s">
        <v>32</v>
      </c>
      <c r="E129" s="27" t="s">
        <v>23</v>
      </c>
      <c r="F129" s="89">
        <f>3.2*5.2</f>
        <v>16.64</v>
      </c>
      <c r="G129" s="29">
        <v>215000</v>
      </c>
      <c r="H129" s="37">
        <v>0.8</v>
      </c>
      <c r="I129" s="31">
        <v>1.1479999999999999</v>
      </c>
      <c r="J129" s="223">
        <f t="shared" si="12"/>
        <v>3286000</v>
      </c>
      <c r="K129" s="32">
        <f t="shared" si="8"/>
        <v>3286000</v>
      </c>
    </row>
    <row r="130" spans="1:13" ht="30" x14ac:dyDescent="0.3">
      <c r="A130" s="69"/>
      <c r="B130" s="8"/>
      <c r="C130" s="82" t="s">
        <v>752</v>
      </c>
      <c r="D130" s="97" t="s">
        <v>92</v>
      </c>
      <c r="E130" s="27" t="s">
        <v>35</v>
      </c>
      <c r="F130" s="89">
        <v>1</v>
      </c>
      <c r="G130" s="29">
        <v>21300</v>
      </c>
      <c r="H130" s="37">
        <v>1</v>
      </c>
      <c r="I130" s="51">
        <v>1</v>
      </c>
      <c r="J130" s="223">
        <f>ROUND(F130*G130*H130*I130,-3)</f>
        <v>21000</v>
      </c>
      <c r="K130" s="32">
        <f t="shared" si="8"/>
        <v>21000</v>
      </c>
    </row>
    <row r="131" spans="1:13" ht="45" x14ac:dyDescent="0.3">
      <c r="A131" s="69"/>
      <c r="B131" s="8"/>
      <c r="C131" s="82" t="s">
        <v>186</v>
      </c>
      <c r="D131" s="62" t="s">
        <v>44</v>
      </c>
      <c r="E131" s="63" t="s">
        <v>45</v>
      </c>
      <c r="F131" s="89">
        <v>7</v>
      </c>
      <c r="G131" s="65">
        <v>28000</v>
      </c>
      <c r="H131" s="37">
        <v>0.8</v>
      </c>
      <c r="I131" s="31">
        <v>1.1479999999999999</v>
      </c>
      <c r="J131" s="223">
        <f>ROUND(F131*G131*H131*I131,-3)</f>
        <v>180000</v>
      </c>
      <c r="K131" s="32">
        <f t="shared" si="8"/>
        <v>180000</v>
      </c>
    </row>
    <row r="132" spans="1:13" ht="45" x14ac:dyDescent="0.3">
      <c r="A132" s="69"/>
      <c r="B132" s="8"/>
      <c r="C132" s="82" t="s">
        <v>187</v>
      </c>
      <c r="D132" s="42" t="s">
        <v>47</v>
      </c>
      <c r="E132" s="63" t="s">
        <v>45</v>
      </c>
      <c r="F132" s="89">
        <v>7</v>
      </c>
      <c r="G132" s="46">
        <v>28000</v>
      </c>
      <c r="H132" s="37">
        <v>0.8</v>
      </c>
      <c r="I132" s="31">
        <v>1.1479999999999999</v>
      </c>
      <c r="J132" s="223">
        <f>ROUND(F132*G132*H132*I132,-3)</f>
        <v>180000</v>
      </c>
      <c r="K132" s="32">
        <f t="shared" si="8"/>
        <v>180000</v>
      </c>
    </row>
    <row r="133" spans="1:13" ht="75" customHeight="1" x14ac:dyDescent="0.3">
      <c r="A133" s="108">
        <v>3</v>
      </c>
      <c r="B133" s="109" t="s">
        <v>16</v>
      </c>
      <c r="C133" s="455" t="s">
        <v>753</v>
      </c>
      <c r="D133" s="456"/>
      <c r="E133" s="456"/>
      <c r="F133" s="456"/>
      <c r="G133" s="456"/>
      <c r="H133" s="456"/>
      <c r="I133" s="457"/>
      <c r="J133" s="221">
        <f>SUM(J134:J141)</f>
        <v>193652000</v>
      </c>
      <c r="K133" s="32">
        <f t="shared" ref="K133:K175" si="13">ROUND(G133*H133*I133*F133,-3)</f>
        <v>0</v>
      </c>
    </row>
    <row r="134" spans="1:13" s="289" customFormat="1" ht="75" x14ac:dyDescent="0.3">
      <c r="A134" s="18"/>
      <c r="B134" s="19"/>
      <c r="C134" s="20" t="s">
        <v>1129</v>
      </c>
      <c r="D134" s="21"/>
      <c r="E134" s="22" t="s">
        <v>23</v>
      </c>
      <c r="F134" s="203">
        <v>12.9</v>
      </c>
      <c r="G134" s="296">
        <v>13800000</v>
      </c>
      <c r="H134" s="299">
        <v>0.495</v>
      </c>
      <c r="I134" s="298">
        <v>1.2</v>
      </c>
      <c r="J134" s="223">
        <f>ROUND(F134*G134*H134*I134,-3)</f>
        <v>105744000</v>
      </c>
      <c r="K134" s="32"/>
      <c r="L134" s="252"/>
    </row>
    <row r="135" spans="1:13" s="289" customFormat="1" ht="78" customHeight="1" x14ac:dyDescent="0.3">
      <c r="A135" s="18"/>
      <c r="B135" s="19"/>
      <c r="C135" s="20" t="s">
        <v>1127</v>
      </c>
      <c r="D135" s="21"/>
      <c r="E135" s="22" t="s">
        <v>23</v>
      </c>
      <c r="F135" s="203">
        <v>18.3</v>
      </c>
      <c r="G135" s="493" t="s">
        <v>1125</v>
      </c>
      <c r="H135" s="494"/>
      <c r="I135" s="494"/>
      <c r="J135" s="222"/>
      <c r="K135" s="32"/>
      <c r="L135" s="252"/>
    </row>
    <row r="136" spans="1:13" ht="112.5" x14ac:dyDescent="0.3">
      <c r="A136" s="69"/>
      <c r="B136" s="8"/>
      <c r="C136" s="82" t="s">
        <v>927</v>
      </c>
      <c r="D136" s="81" t="s">
        <v>63</v>
      </c>
      <c r="E136" s="27" t="s">
        <v>23</v>
      </c>
      <c r="F136" s="89">
        <f>4.5*5.2</f>
        <v>23.400000000000002</v>
      </c>
      <c r="G136" s="29">
        <f>2975000-99000</f>
        <v>2876000</v>
      </c>
      <c r="H136" s="37">
        <v>1</v>
      </c>
      <c r="I136" s="31">
        <v>1.1479999999999999</v>
      </c>
      <c r="J136" s="223">
        <f t="shared" ref="J136:J141" si="14">ROUND(F136*G136*H136*I136,-3)</f>
        <v>77259000</v>
      </c>
      <c r="K136" s="32">
        <f t="shared" si="13"/>
        <v>77259000</v>
      </c>
    </row>
    <row r="137" spans="1:13" ht="45" x14ac:dyDescent="0.3">
      <c r="A137" s="69"/>
      <c r="B137" s="8"/>
      <c r="C137" s="82" t="s">
        <v>754</v>
      </c>
      <c r="D137" s="26" t="s">
        <v>24</v>
      </c>
      <c r="E137" s="84" t="s">
        <v>25</v>
      </c>
      <c r="F137" s="89">
        <f>4.5*1*0.1</f>
        <v>0.45</v>
      </c>
      <c r="G137" s="86">
        <v>2828000</v>
      </c>
      <c r="H137" s="37">
        <v>0.8</v>
      </c>
      <c r="I137" s="88">
        <v>1.1479999999999999</v>
      </c>
      <c r="J137" s="223">
        <f t="shared" si="14"/>
        <v>1169000</v>
      </c>
      <c r="K137" s="32">
        <f t="shared" si="13"/>
        <v>1169000</v>
      </c>
    </row>
    <row r="138" spans="1:13" ht="45" x14ac:dyDescent="0.3">
      <c r="A138" s="69"/>
      <c r="B138" s="8"/>
      <c r="C138" s="82" t="s">
        <v>755</v>
      </c>
      <c r="D138" s="42" t="s">
        <v>32</v>
      </c>
      <c r="E138" s="27" t="s">
        <v>23</v>
      </c>
      <c r="F138" s="89">
        <f>6.9*4.5</f>
        <v>31.05</v>
      </c>
      <c r="G138" s="29">
        <v>215000</v>
      </c>
      <c r="H138" s="37">
        <v>0.8</v>
      </c>
      <c r="I138" s="31">
        <v>1.1479999999999999</v>
      </c>
      <c r="J138" s="223">
        <f t="shared" si="14"/>
        <v>6131000</v>
      </c>
      <c r="K138" s="32">
        <f t="shared" si="13"/>
        <v>6131000</v>
      </c>
    </row>
    <row r="139" spans="1:13" ht="45" x14ac:dyDescent="0.3">
      <c r="A139" s="69"/>
      <c r="B139" s="8"/>
      <c r="C139" s="82" t="s">
        <v>905</v>
      </c>
      <c r="D139" s="34" t="s">
        <v>51</v>
      </c>
      <c r="E139" s="27" t="s">
        <v>23</v>
      </c>
      <c r="F139" s="89">
        <f>4.5*1.6</f>
        <v>7.2</v>
      </c>
      <c r="G139" s="29">
        <v>453000</v>
      </c>
      <c r="H139" s="37">
        <v>0.8</v>
      </c>
      <c r="I139" s="31">
        <v>1.1479999999999999</v>
      </c>
      <c r="J139" s="223">
        <f t="shared" si="14"/>
        <v>2995000</v>
      </c>
      <c r="K139" s="32">
        <f t="shared" si="13"/>
        <v>2995000</v>
      </c>
    </row>
    <row r="140" spans="1:13" ht="45" x14ac:dyDescent="0.3">
      <c r="A140" s="69"/>
      <c r="B140" s="8"/>
      <c r="C140" s="82" t="s">
        <v>342</v>
      </c>
      <c r="D140" s="62" t="s">
        <v>44</v>
      </c>
      <c r="E140" s="63" t="s">
        <v>45</v>
      </c>
      <c r="F140" s="89">
        <v>5.5</v>
      </c>
      <c r="G140" s="65">
        <v>28000</v>
      </c>
      <c r="H140" s="66">
        <v>1</v>
      </c>
      <c r="I140" s="31">
        <v>1.1479999999999999</v>
      </c>
      <c r="J140" s="223">
        <f t="shared" si="14"/>
        <v>177000</v>
      </c>
      <c r="K140" s="32">
        <f t="shared" si="13"/>
        <v>177000</v>
      </c>
    </row>
    <row r="141" spans="1:13" ht="45" x14ac:dyDescent="0.3">
      <c r="A141" s="69"/>
      <c r="B141" s="8"/>
      <c r="C141" s="82" t="s">
        <v>188</v>
      </c>
      <c r="D141" s="42" t="s">
        <v>47</v>
      </c>
      <c r="E141" s="63" t="s">
        <v>45</v>
      </c>
      <c r="F141" s="33">
        <v>5.5</v>
      </c>
      <c r="G141" s="46">
        <v>28000</v>
      </c>
      <c r="H141" s="56">
        <v>1</v>
      </c>
      <c r="I141" s="57">
        <v>1.1479999999999999</v>
      </c>
      <c r="J141" s="223">
        <f t="shared" si="14"/>
        <v>177000</v>
      </c>
      <c r="K141" s="32">
        <f t="shared" si="13"/>
        <v>177000</v>
      </c>
    </row>
    <row r="142" spans="1:13" s="289" customFormat="1" ht="75" customHeight="1" x14ac:dyDescent="0.3">
      <c r="A142" s="67">
        <v>4</v>
      </c>
      <c r="B142" s="68" t="s">
        <v>472</v>
      </c>
      <c r="C142" s="433" t="s">
        <v>1235</v>
      </c>
      <c r="D142" s="434"/>
      <c r="E142" s="434"/>
      <c r="F142" s="434"/>
      <c r="G142" s="434"/>
      <c r="H142" s="434"/>
      <c r="I142" s="435"/>
      <c r="J142" s="221">
        <f>SUM(J143:J152)</f>
        <v>257571000</v>
      </c>
      <c r="K142" s="32">
        <f t="shared" si="13"/>
        <v>0</v>
      </c>
      <c r="L142" s="252"/>
      <c r="M142" s="261">
        <f t="shared" ref="M142:M152" si="15">J142-K142</f>
        <v>257571000</v>
      </c>
    </row>
    <row r="143" spans="1:13" s="289" customFormat="1" ht="85.5" customHeight="1" x14ac:dyDescent="0.3">
      <c r="A143" s="18"/>
      <c r="B143" s="19"/>
      <c r="C143" s="20" t="s">
        <v>1129</v>
      </c>
      <c r="D143" s="21"/>
      <c r="E143" s="22" t="s">
        <v>23</v>
      </c>
      <c r="F143" s="203">
        <v>0.9</v>
      </c>
      <c r="G143" s="296">
        <v>13800000</v>
      </c>
      <c r="H143" s="299">
        <v>1</v>
      </c>
      <c r="I143" s="298">
        <v>1.2</v>
      </c>
      <c r="J143" s="223">
        <f>ROUND(F143*G143*H143*I143,-3)</f>
        <v>14904000</v>
      </c>
      <c r="K143" s="32"/>
      <c r="L143" s="252"/>
    </row>
    <row r="144" spans="1:13" s="289" customFormat="1" ht="85.5" customHeight="1" x14ac:dyDescent="0.3">
      <c r="A144" s="18"/>
      <c r="B144" s="19"/>
      <c r="C144" s="20" t="s">
        <v>1130</v>
      </c>
      <c r="D144" s="21"/>
      <c r="E144" s="22" t="s">
        <v>23</v>
      </c>
      <c r="F144" s="203">
        <v>42.5</v>
      </c>
      <c r="G144" s="493" t="s">
        <v>1133</v>
      </c>
      <c r="H144" s="494"/>
      <c r="I144" s="494"/>
      <c r="J144" s="222">
        <v>0</v>
      </c>
      <c r="K144" s="32"/>
      <c r="L144" s="252"/>
    </row>
    <row r="145" spans="1:13" s="289" customFormat="1" ht="118.5" customHeight="1" x14ac:dyDescent="0.3">
      <c r="A145" s="67"/>
      <c r="B145" s="68"/>
      <c r="C145" s="25" t="s">
        <v>1236</v>
      </c>
      <c r="D145" s="81" t="s">
        <v>63</v>
      </c>
      <c r="E145" s="27" t="s">
        <v>23</v>
      </c>
      <c r="F145" s="33">
        <f>9.5*6.15</f>
        <v>58.425000000000004</v>
      </c>
      <c r="G145" s="29">
        <f>2975000-99000</f>
        <v>2876000</v>
      </c>
      <c r="H145" s="37">
        <v>1</v>
      </c>
      <c r="I145" s="31">
        <v>1.1479999999999999</v>
      </c>
      <c r="J145" s="223">
        <f>ROUND(F145*G145*H145*I145,-3)</f>
        <v>192899000</v>
      </c>
      <c r="K145" s="32">
        <f t="shared" si="13"/>
        <v>192899000</v>
      </c>
      <c r="L145" s="252"/>
      <c r="M145" s="261">
        <f t="shared" si="15"/>
        <v>0</v>
      </c>
    </row>
    <row r="146" spans="1:13" s="289" customFormat="1" ht="75" customHeight="1" x14ac:dyDescent="0.3">
      <c r="A146" s="67"/>
      <c r="B146" s="68"/>
      <c r="C146" s="25" t="s">
        <v>1237</v>
      </c>
      <c r="D146" s="34" t="s">
        <v>80</v>
      </c>
      <c r="E146" s="71" t="s">
        <v>23</v>
      </c>
      <c r="F146" s="33">
        <f>8.5*5.9</f>
        <v>50.150000000000006</v>
      </c>
      <c r="G146" s="29">
        <v>385000</v>
      </c>
      <c r="H146" s="37">
        <v>1</v>
      </c>
      <c r="I146" s="31">
        <v>1.1479999999999999</v>
      </c>
      <c r="J146" s="223">
        <f t="shared" ref="J146:J152" si="16">ROUND(F146*G146*H146*I146,-3)</f>
        <v>22165000</v>
      </c>
      <c r="K146" s="32">
        <f t="shared" si="13"/>
        <v>22165000</v>
      </c>
      <c r="L146" s="252"/>
      <c r="M146" s="261">
        <f t="shared" si="15"/>
        <v>0</v>
      </c>
    </row>
    <row r="147" spans="1:13" s="289" customFormat="1" ht="75" customHeight="1" x14ac:dyDescent="0.3">
      <c r="A147" s="67"/>
      <c r="B147" s="68"/>
      <c r="C147" s="25" t="s">
        <v>1238</v>
      </c>
      <c r="D147" s="26" t="s">
        <v>24</v>
      </c>
      <c r="E147" s="8" t="s">
        <v>25</v>
      </c>
      <c r="F147" s="33">
        <f>0.6*0.15*6.15+0.7*0.15*6.15</f>
        <v>1.1992500000000001</v>
      </c>
      <c r="G147" s="29">
        <v>2828000</v>
      </c>
      <c r="H147" s="30">
        <v>1</v>
      </c>
      <c r="I147" s="57">
        <v>1.1479999999999999</v>
      </c>
      <c r="J147" s="223">
        <f t="shared" si="16"/>
        <v>3893000</v>
      </c>
      <c r="K147" s="32">
        <f t="shared" si="13"/>
        <v>3893000</v>
      </c>
      <c r="L147" s="252"/>
      <c r="M147" s="261">
        <f t="shared" si="15"/>
        <v>0</v>
      </c>
    </row>
    <row r="148" spans="1:13" s="289" customFormat="1" ht="75" customHeight="1" x14ac:dyDescent="0.3">
      <c r="A148" s="67"/>
      <c r="B148" s="68"/>
      <c r="C148" s="25" t="s">
        <v>1239</v>
      </c>
      <c r="D148" s="42" t="s">
        <v>32</v>
      </c>
      <c r="E148" s="27" t="s">
        <v>23</v>
      </c>
      <c r="F148" s="33">
        <f>4.9*6.15</f>
        <v>30.135000000000005</v>
      </c>
      <c r="G148" s="29">
        <v>215000</v>
      </c>
      <c r="H148" s="30">
        <v>1</v>
      </c>
      <c r="I148" s="31">
        <v>1.1479999999999999</v>
      </c>
      <c r="J148" s="223">
        <f t="shared" si="16"/>
        <v>7438000</v>
      </c>
      <c r="K148" s="32">
        <f t="shared" si="13"/>
        <v>7438000</v>
      </c>
      <c r="L148" s="252"/>
      <c r="M148" s="261">
        <f t="shared" si="15"/>
        <v>0</v>
      </c>
    </row>
    <row r="149" spans="1:13" s="289" customFormat="1" ht="75" customHeight="1" x14ac:dyDescent="0.3">
      <c r="A149" s="67"/>
      <c r="B149" s="68"/>
      <c r="C149" s="25" t="s">
        <v>1240</v>
      </c>
      <c r="D149" s="34" t="s">
        <v>55</v>
      </c>
      <c r="E149" s="27" t="s">
        <v>23</v>
      </c>
      <c r="F149" s="33">
        <f>(3*0.7)*2+6.15*1.6</f>
        <v>14.040000000000001</v>
      </c>
      <c r="G149" s="29">
        <v>905000</v>
      </c>
      <c r="H149" s="52">
        <v>1</v>
      </c>
      <c r="I149" s="57">
        <v>1.1479999999999999</v>
      </c>
      <c r="J149" s="223">
        <f t="shared" si="16"/>
        <v>14587000</v>
      </c>
      <c r="K149" s="32">
        <f t="shared" si="13"/>
        <v>14587000</v>
      </c>
      <c r="L149" s="252"/>
      <c r="M149" s="261">
        <f t="shared" si="15"/>
        <v>0</v>
      </c>
    </row>
    <row r="150" spans="1:13" s="289" customFormat="1" ht="75" customHeight="1" x14ac:dyDescent="0.3">
      <c r="A150" s="67"/>
      <c r="B150" s="68"/>
      <c r="C150" s="25" t="s">
        <v>1241</v>
      </c>
      <c r="D150" s="42" t="s">
        <v>54</v>
      </c>
      <c r="E150" s="27" t="s">
        <v>23</v>
      </c>
      <c r="F150" s="33">
        <f>6.15*0.8</f>
        <v>4.9200000000000008</v>
      </c>
      <c r="G150" s="46">
        <v>213000</v>
      </c>
      <c r="H150" s="52">
        <v>1</v>
      </c>
      <c r="I150" s="57">
        <v>1.1479999999999999</v>
      </c>
      <c r="J150" s="223">
        <f t="shared" si="16"/>
        <v>1203000</v>
      </c>
      <c r="K150" s="32">
        <f t="shared" si="13"/>
        <v>1203000</v>
      </c>
      <c r="L150" s="252"/>
      <c r="M150" s="261">
        <f t="shared" si="15"/>
        <v>0</v>
      </c>
    </row>
    <row r="151" spans="1:13" s="289" customFormat="1" ht="75" customHeight="1" x14ac:dyDescent="0.3">
      <c r="A151" s="67"/>
      <c r="B151" s="68"/>
      <c r="C151" s="25" t="s">
        <v>1242</v>
      </c>
      <c r="D151" s="42" t="s">
        <v>44</v>
      </c>
      <c r="E151" s="63" t="s">
        <v>45</v>
      </c>
      <c r="F151" s="33">
        <v>7.5</v>
      </c>
      <c r="G151" s="46">
        <v>28000</v>
      </c>
      <c r="H151" s="56">
        <v>1</v>
      </c>
      <c r="I151" s="57">
        <v>1.1479999999999999</v>
      </c>
      <c r="J151" s="223">
        <f t="shared" si="16"/>
        <v>241000</v>
      </c>
      <c r="K151" s="32">
        <f t="shared" si="13"/>
        <v>241000</v>
      </c>
      <c r="L151" s="252"/>
      <c r="M151" s="261">
        <f t="shared" si="15"/>
        <v>0</v>
      </c>
    </row>
    <row r="152" spans="1:13" s="289" customFormat="1" ht="75" customHeight="1" x14ac:dyDescent="0.3">
      <c r="A152" s="67"/>
      <c r="B152" s="68"/>
      <c r="C152" s="25" t="s">
        <v>211</v>
      </c>
      <c r="D152" s="42" t="s">
        <v>47</v>
      </c>
      <c r="E152" s="63" t="s">
        <v>45</v>
      </c>
      <c r="F152" s="33">
        <v>7.5</v>
      </c>
      <c r="G152" s="46">
        <v>28000</v>
      </c>
      <c r="H152" s="66">
        <v>1</v>
      </c>
      <c r="I152" s="31">
        <v>1.1479999999999999</v>
      </c>
      <c r="J152" s="223">
        <f t="shared" si="16"/>
        <v>241000</v>
      </c>
      <c r="K152" s="32">
        <f t="shared" si="13"/>
        <v>241000</v>
      </c>
      <c r="L152" s="252"/>
      <c r="M152" s="261">
        <f t="shared" si="15"/>
        <v>0</v>
      </c>
    </row>
    <row r="153" spans="1:13" ht="75" customHeight="1" x14ac:dyDescent="0.25">
      <c r="A153" s="110">
        <v>5</v>
      </c>
      <c r="B153" s="111" t="s">
        <v>756</v>
      </c>
      <c r="C153" s="495" t="s">
        <v>757</v>
      </c>
      <c r="D153" s="496"/>
      <c r="E153" s="496"/>
      <c r="F153" s="496"/>
      <c r="G153" s="496"/>
      <c r="H153" s="496"/>
      <c r="I153" s="497"/>
      <c r="J153" s="228">
        <f>SUM(J154:J175)</f>
        <v>1023985000</v>
      </c>
      <c r="K153" s="32">
        <f t="shared" si="13"/>
        <v>0</v>
      </c>
      <c r="L153" s="248" t="s">
        <v>1036</v>
      </c>
    </row>
    <row r="154" spans="1:13" ht="75" customHeight="1" x14ac:dyDescent="0.3">
      <c r="A154" s="16"/>
      <c r="B154" s="17"/>
      <c r="C154" s="20" t="s">
        <v>1129</v>
      </c>
      <c r="D154" s="26"/>
      <c r="E154" s="27" t="s">
        <v>23</v>
      </c>
      <c r="F154" s="33">
        <v>12.72</v>
      </c>
      <c r="G154" s="296">
        <v>13800000</v>
      </c>
      <c r="H154" s="299">
        <v>0.59499999999999997</v>
      </c>
      <c r="I154" s="298">
        <v>1.2</v>
      </c>
      <c r="J154" s="223">
        <f>ROUND(F154*G154*H154*I154,-3)</f>
        <v>125333000</v>
      </c>
      <c r="K154" s="32"/>
    </row>
    <row r="155" spans="1:13" s="289" customFormat="1" ht="75" customHeight="1" x14ac:dyDescent="0.3">
      <c r="A155" s="211"/>
      <c r="B155" s="17"/>
      <c r="C155" s="20" t="s">
        <v>1130</v>
      </c>
      <c r="D155" s="26"/>
      <c r="E155" s="27" t="s">
        <v>23</v>
      </c>
      <c r="F155" s="33">
        <v>53.78</v>
      </c>
      <c r="G155" s="493" t="s">
        <v>1125</v>
      </c>
      <c r="H155" s="494"/>
      <c r="I155" s="494"/>
      <c r="J155" s="227" t="s">
        <v>1131</v>
      </c>
      <c r="K155" s="32"/>
      <c r="L155" s="252"/>
    </row>
    <row r="156" spans="1:13" ht="148.5" customHeight="1" x14ac:dyDescent="0.3">
      <c r="A156" s="69"/>
      <c r="B156" s="8"/>
      <c r="C156" s="82" t="s">
        <v>758</v>
      </c>
      <c r="D156" s="81" t="s">
        <v>87</v>
      </c>
      <c r="E156" s="27" t="s">
        <v>23</v>
      </c>
      <c r="F156" s="89">
        <f>(5.5*5.5)+(5.55*(3.05*5.95)/2)+(5.5*5.5)+(5.55*(3.05*5.95)/2)</f>
        <v>161.218625</v>
      </c>
      <c r="G156" s="11">
        <v>5339000</v>
      </c>
      <c r="H156" s="37">
        <v>0.8</v>
      </c>
      <c r="I156" s="31">
        <v>1.1479999999999999</v>
      </c>
      <c r="J156" s="223">
        <f>ROUND(F156*G156*H156*I156,-3)</f>
        <v>790509000</v>
      </c>
      <c r="K156" s="32">
        <f t="shared" si="13"/>
        <v>790509000</v>
      </c>
    </row>
    <row r="157" spans="1:13" ht="45" x14ac:dyDescent="0.3">
      <c r="A157" s="69"/>
      <c r="B157" s="8"/>
      <c r="C157" s="82" t="s">
        <v>906</v>
      </c>
      <c r="D157" s="34" t="s">
        <v>28</v>
      </c>
      <c r="E157" s="27" t="s">
        <v>23</v>
      </c>
      <c r="F157" s="89">
        <f>2.9*0.65+(1*0.45)*19</f>
        <v>10.435</v>
      </c>
      <c r="G157" s="11">
        <v>396000</v>
      </c>
      <c r="H157" s="37">
        <v>0.8</v>
      </c>
      <c r="I157" s="31">
        <v>1.1479999999999999</v>
      </c>
      <c r="J157" s="223">
        <f t="shared" ref="J157:J166" si="17">ROUND(F157*G157*H157*I157,-3)</f>
        <v>3795000</v>
      </c>
      <c r="K157" s="32">
        <f t="shared" si="13"/>
        <v>3795000</v>
      </c>
    </row>
    <row r="158" spans="1:13" ht="45" x14ac:dyDescent="0.3">
      <c r="A158" s="69"/>
      <c r="B158" s="8"/>
      <c r="C158" s="82" t="s">
        <v>907</v>
      </c>
      <c r="D158" s="44" t="s">
        <v>33</v>
      </c>
      <c r="E158" s="27" t="s">
        <v>23</v>
      </c>
      <c r="F158" s="89">
        <f>7.6*0.85+7.9*0.7</f>
        <v>11.99</v>
      </c>
      <c r="G158" s="29">
        <v>453000</v>
      </c>
      <c r="H158" s="37">
        <v>0.8</v>
      </c>
      <c r="I158" s="31">
        <v>1.1479999999999999</v>
      </c>
      <c r="J158" s="223">
        <f t="shared" si="17"/>
        <v>4988000</v>
      </c>
      <c r="K158" s="32">
        <f t="shared" si="13"/>
        <v>4988000</v>
      </c>
    </row>
    <row r="159" spans="1:13" ht="45" x14ac:dyDescent="0.3">
      <c r="A159" s="69"/>
      <c r="B159" s="8"/>
      <c r="C159" s="82" t="s">
        <v>759</v>
      </c>
      <c r="D159" s="34" t="s">
        <v>66</v>
      </c>
      <c r="E159" s="27" t="s">
        <v>23</v>
      </c>
      <c r="F159" s="89">
        <f>8.1*0.9+7.5*1.8+(46.1*0.15)*2</f>
        <v>34.619999999999997</v>
      </c>
      <c r="G159" s="29">
        <v>339000</v>
      </c>
      <c r="H159" s="37">
        <v>0.8</v>
      </c>
      <c r="I159" s="31">
        <v>1.1479999999999999</v>
      </c>
      <c r="J159" s="223">
        <f t="shared" si="17"/>
        <v>10779000</v>
      </c>
      <c r="K159" s="32">
        <f t="shared" si="13"/>
        <v>10779000</v>
      </c>
    </row>
    <row r="160" spans="1:13" ht="45" x14ac:dyDescent="0.3">
      <c r="A160" s="69"/>
      <c r="B160" s="8"/>
      <c r="C160" s="82" t="s">
        <v>908</v>
      </c>
      <c r="D160" s="34" t="s">
        <v>66</v>
      </c>
      <c r="E160" s="27" t="s">
        <v>23</v>
      </c>
      <c r="F160" s="89">
        <f>3.2*0.9+4.4*0.8</f>
        <v>6.4</v>
      </c>
      <c r="G160" s="29">
        <v>339000</v>
      </c>
      <c r="H160" s="37">
        <v>0.8</v>
      </c>
      <c r="I160" s="31">
        <v>1.1479999999999999</v>
      </c>
      <c r="J160" s="223">
        <f t="shared" si="17"/>
        <v>1993000</v>
      </c>
      <c r="K160" s="32">
        <f t="shared" si="13"/>
        <v>1993000</v>
      </c>
    </row>
    <row r="161" spans="1:13" ht="45" x14ac:dyDescent="0.3">
      <c r="A161" s="69"/>
      <c r="B161" s="8"/>
      <c r="C161" s="82" t="s">
        <v>760</v>
      </c>
      <c r="D161" s="34" t="s">
        <v>68</v>
      </c>
      <c r="E161" s="168" t="s">
        <v>23</v>
      </c>
      <c r="F161" s="89">
        <f>8.6*4.8</f>
        <v>41.279999999999994</v>
      </c>
      <c r="G161" s="46">
        <v>213000</v>
      </c>
      <c r="H161" s="37">
        <v>0.8</v>
      </c>
      <c r="I161" s="31">
        <v>1.1479999999999999</v>
      </c>
      <c r="J161" s="223">
        <f t="shared" si="17"/>
        <v>8075000</v>
      </c>
      <c r="K161" s="32">
        <f t="shared" si="13"/>
        <v>8075000</v>
      </c>
    </row>
    <row r="162" spans="1:13" ht="45" x14ac:dyDescent="0.3">
      <c r="A162" s="104"/>
      <c r="B162" s="105"/>
      <c r="C162" s="113" t="s">
        <v>909</v>
      </c>
      <c r="D162" s="34" t="s">
        <v>51</v>
      </c>
      <c r="E162" s="27" t="s">
        <v>23</v>
      </c>
      <c r="F162" s="89">
        <f>4.9*1.8+3*1.5</f>
        <v>13.32</v>
      </c>
      <c r="G162" s="29">
        <v>453000</v>
      </c>
      <c r="H162" s="37">
        <v>0.8</v>
      </c>
      <c r="I162" s="31">
        <v>1.1479999999999999</v>
      </c>
      <c r="J162" s="223">
        <f t="shared" si="17"/>
        <v>5542000</v>
      </c>
      <c r="K162" s="32">
        <f t="shared" si="13"/>
        <v>5542000</v>
      </c>
    </row>
    <row r="163" spans="1:13" ht="56.25" x14ac:dyDescent="0.3">
      <c r="A163" s="107"/>
      <c r="B163" s="84"/>
      <c r="C163" s="106" t="s">
        <v>761</v>
      </c>
      <c r="D163" s="26" t="s">
        <v>24</v>
      </c>
      <c r="E163" s="84" t="s">
        <v>25</v>
      </c>
      <c r="F163" s="89">
        <f>5.8*1*0.15+5*0.3*0.05+5.5*0.5*0.1+9.2*1*0.15+5*0.2*0.15</f>
        <v>2.75</v>
      </c>
      <c r="G163" s="86">
        <v>2828000</v>
      </c>
      <c r="H163" s="37">
        <v>0.8</v>
      </c>
      <c r="I163" s="88">
        <v>1.1479999999999999</v>
      </c>
      <c r="J163" s="223">
        <f t="shared" si="17"/>
        <v>7142000</v>
      </c>
      <c r="K163" s="32">
        <f t="shared" si="13"/>
        <v>7142000</v>
      </c>
    </row>
    <row r="164" spans="1:13" ht="45" x14ac:dyDescent="0.3">
      <c r="A164" s="69"/>
      <c r="B164" s="8"/>
      <c r="C164" s="82" t="s">
        <v>762</v>
      </c>
      <c r="D164" s="34" t="s">
        <v>101</v>
      </c>
      <c r="E164" s="71" t="s">
        <v>23</v>
      </c>
      <c r="F164" s="10">
        <f>0.85*5.7</f>
        <v>4.8449999999999998</v>
      </c>
      <c r="G164" s="29">
        <v>339000</v>
      </c>
      <c r="H164" s="37">
        <v>0.8</v>
      </c>
      <c r="I164" s="31">
        <v>1.1479999999999999</v>
      </c>
      <c r="J164" s="223">
        <f t="shared" si="17"/>
        <v>1508000</v>
      </c>
      <c r="K164" s="32">
        <f t="shared" si="13"/>
        <v>1508000</v>
      </c>
    </row>
    <row r="165" spans="1:13" ht="45" x14ac:dyDescent="0.3">
      <c r="A165" s="69"/>
      <c r="B165" s="8"/>
      <c r="C165" s="82" t="s">
        <v>910</v>
      </c>
      <c r="D165" s="34" t="s">
        <v>29</v>
      </c>
      <c r="E165" s="27" t="s">
        <v>23</v>
      </c>
      <c r="F165" s="208">
        <f>7.9*0.3</f>
        <v>2.37</v>
      </c>
      <c r="G165" s="29">
        <v>792000</v>
      </c>
      <c r="H165" s="37">
        <v>0.8</v>
      </c>
      <c r="I165" s="31">
        <v>1.1479999999999999</v>
      </c>
      <c r="J165" s="223">
        <f t="shared" si="17"/>
        <v>1724000</v>
      </c>
      <c r="K165" s="32">
        <f t="shared" si="13"/>
        <v>1724000</v>
      </c>
    </row>
    <row r="166" spans="1:13" ht="45" x14ac:dyDescent="0.3">
      <c r="A166" s="69"/>
      <c r="B166" s="8"/>
      <c r="C166" s="82" t="s">
        <v>321</v>
      </c>
      <c r="D166" s="34" t="s">
        <v>38</v>
      </c>
      <c r="E166" s="27" t="s">
        <v>39</v>
      </c>
      <c r="F166" s="208">
        <v>2</v>
      </c>
      <c r="G166" s="55">
        <v>1018000</v>
      </c>
      <c r="H166" s="37">
        <v>0.8</v>
      </c>
      <c r="I166" s="57">
        <v>1.1479999999999999</v>
      </c>
      <c r="J166" s="226">
        <f t="shared" si="17"/>
        <v>1870000</v>
      </c>
      <c r="K166" s="32">
        <f t="shared" si="13"/>
        <v>1870000</v>
      </c>
    </row>
    <row r="167" spans="1:13" s="293" customFormat="1" ht="93.75" x14ac:dyDescent="0.3">
      <c r="A167" s="291"/>
      <c r="B167" s="8"/>
      <c r="C167" s="82" t="s">
        <v>1126</v>
      </c>
      <c r="D167" s="34"/>
      <c r="E167" s="27" t="s">
        <v>23</v>
      </c>
      <c r="F167" s="89">
        <f>2.4*1+2.1*3.1</f>
        <v>8.91</v>
      </c>
      <c r="G167" s="11">
        <v>2975000</v>
      </c>
      <c r="H167" s="37">
        <v>0.8</v>
      </c>
      <c r="I167" s="57">
        <v>1.1479999999999999</v>
      </c>
      <c r="J167" s="226">
        <f>ROUND(F167*G167*H167*I167,-3)</f>
        <v>24344000</v>
      </c>
      <c r="K167" s="32">
        <f t="shared" si="13"/>
        <v>24344000</v>
      </c>
      <c r="L167" s="301" t="s">
        <v>1035</v>
      </c>
      <c r="M167" s="302"/>
    </row>
    <row r="168" spans="1:13" ht="45" x14ac:dyDescent="0.3">
      <c r="A168" s="69"/>
      <c r="B168" s="8"/>
      <c r="C168" s="82" t="s">
        <v>911</v>
      </c>
      <c r="D168" s="34" t="s">
        <v>55</v>
      </c>
      <c r="E168" s="27" t="s">
        <v>23</v>
      </c>
      <c r="F168" s="89">
        <f>4.9*2.3</f>
        <v>11.27</v>
      </c>
      <c r="G168" s="29">
        <v>905000</v>
      </c>
      <c r="H168" s="37">
        <v>0.8</v>
      </c>
      <c r="I168" s="57">
        <v>1.1479999999999999</v>
      </c>
      <c r="J168" s="223">
        <f t="shared" ref="J168:J175" si="18">ROUND(F168*G168*H168*I168,-3)</f>
        <v>9367000</v>
      </c>
      <c r="K168" s="32">
        <f t="shared" si="13"/>
        <v>9367000</v>
      </c>
    </row>
    <row r="169" spans="1:13" ht="45" x14ac:dyDescent="0.3">
      <c r="A169" s="69"/>
      <c r="B169" s="8"/>
      <c r="C169" s="82" t="s">
        <v>763</v>
      </c>
      <c r="D169" s="34" t="s">
        <v>52</v>
      </c>
      <c r="E169" s="71" t="s">
        <v>23</v>
      </c>
      <c r="F169" s="89">
        <f>4.9*2.3</f>
        <v>11.27</v>
      </c>
      <c r="G169" s="11" t="s">
        <v>53</v>
      </c>
      <c r="H169" s="37">
        <v>0.8</v>
      </c>
      <c r="I169" s="31">
        <v>1.1479999999999999</v>
      </c>
      <c r="J169" s="223">
        <f t="shared" si="18"/>
        <v>2443000</v>
      </c>
      <c r="K169" s="32">
        <f t="shared" si="13"/>
        <v>2443000</v>
      </c>
    </row>
    <row r="170" spans="1:13" ht="45" x14ac:dyDescent="0.3">
      <c r="A170" s="104"/>
      <c r="B170" s="105"/>
      <c r="C170" s="113" t="s">
        <v>764</v>
      </c>
      <c r="D170" s="34" t="s">
        <v>101</v>
      </c>
      <c r="E170" s="71" t="s">
        <v>23</v>
      </c>
      <c r="F170" s="209">
        <f>4.7*1.5</f>
        <v>7.0500000000000007</v>
      </c>
      <c r="G170" s="29">
        <v>339000</v>
      </c>
      <c r="H170" s="37">
        <v>0.8</v>
      </c>
      <c r="I170" s="31">
        <v>1.1479999999999999</v>
      </c>
      <c r="J170" s="223">
        <f t="shared" si="18"/>
        <v>2195000</v>
      </c>
      <c r="K170" s="32">
        <f t="shared" si="13"/>
        <v>2195000</v>
      </c>
    </row>
    <row r="171" spans="1:13" ht="45" x14ac:dyDescent="0.3">
      <c r="A171" s="69"/>
      <c r="B171" s="8"/>
      <c r="C171" s="121" t="s">
        <v>765</v>
      </c>
      <c r="D171" s="42" t="s">
        <v>32</v>
      </c>
      <c r="E171" s="27" t="s">
        <v>23</v>
      </c>
      <c r="F171" s="10">
        <f>5.3*8</f>
        <v>42.4</v>
      </c>
      <c r="G171" s="29">
        <v>215000</v>
      </c>
      <c r="H171" s="37">
        <v>0.8</v>
      </c>
      <c r="I171" s="31">
        <v>1.1479999999999999</v>
      </c>
      <c r="J171" s="223">
        <f t="shared" si="18"/>
        <v>8372000</v>
      </c>
      <c r="K171" s="32">
        <f t="shared" si="13"/>
        <v>8372000</v>
      </c>
    </row>
    <row r="172" spans="1:13" ht="45" x14ac:dyDescent="0.3">
      <c r="A172" s="69"/>
      <c r="B172" s="8"/>
      <c r="C172" s="122" t="s">
        <v>766</v>
      </c>
      <c r="D172" s="34" t="s">
        <v>52</v>
      </c>
      <c r="E172" s="96" t="s">
        <v>91</v>
      </c>
      <c r="F172" s="10">
        <f>2.3*1.2</f>
        <v>2.76</v>
      </c>
      <c r="G172" s="11" t="s">
        <v>53</v>
      </c>
      <c r="H172" s="37">
        <v>0.8</v>
      </c>
      <c r="I172" s="31">
        <v>1.1479999999999999</v>
      </c>
      <c r="J172" s="223">
        <f t="shared" si="18"/>
        <v>598000</v>
      </c>
      <c r="K172" s="32">
        <f t="shared" si="13"/>
        <v>598000</v>
      </c>
    </row>
    <row r="173" spans="1:13" ht="45" x14ac:dyDescent="0.3">
      <c r="A173" s="69"/>
      <c r="B173" s="8"/>
      <c r="C173" s="122" t="s">
        <v>767</v>
      </c>
      <c r="D173" s="34" t="s">
        <v>52</v>
      </c>
      <c r="E173" s="27" t="s">
        <v>23</v>
      </c>
      <c r="F173" s="10">
        <f>15.05*4</f>
        <v>60.2</v>
      </c>
      <c r="G173" s="11" t="s">
        <v>53</v>
      </c>
      <c r="H173" s="37">
        <v>0.8</v>
      </c>
      <c r="I173" s="78">
        <v>1.1479999999999999</v>
      </c>
      <c r="J173" s="223">
        <f t="shared" si="18"/>
        <v>13048000</v>
      </c>
      <c r="K173" s="32">
        <f t="shared" si="13"/>
        <v>13048000</v>
      </c>
    </row>
    <row r="174" spans="1:13" ht="45" x14ac:dyDescent="0.3">
      <c r="A174" s="69"/>
      <c r="B174" s="8"/>
      <c r="C174" s="122" t="s">
        <v>186</v>
      </c>
      <c r="D174" s="62" t="s">
        <v>44</v>
      </c>
      <c r="E174" s="63" t="s">
        <v>45</v>
      </c>
      <c r="F174" s="89">
        <v>7</v>
      </c>
      <c r="G174" s="65">
        <v>28000</v>
      </c>
      <c r="H174" s="37">
        <v>0.8</v>
      </c>
      <c r="I174" s="31">
        <v>1.1479999999999999</v>
      </c>
      <c r="J174" s="223">
        <f t="shared" si="18"/>
        <v>180000</v>
      </c>
      <c r="K174" s="32">
        <f t="shared" si="13"/>
        <v>180000</v>
      </c>
    </row>
    <row r="175" spans="1:13" ht="45" x14ac:dyDescent="0.3">
      <c r="A175" s="107"/>
      <c r="B175" s="84"/>
      <c r="C175" s="122" t="s">
        <v>187</v>
      </c>
      <c r="D175" s="42" t="s">
        <v>47</v>
      </c>
      <c r="E175" s="63" t="s">
        <v>45</v>
      </c>
      <c r="F175" s="89">
        <v>7</v>
      </c>
      <c r="G175" s="46">
        <v>28000</v>
      </c>
      <c r="H175" s="37">
        <v>0.8</v>
      </c>
      <c r="I175" s="31">
        <v>1.1479999999999999</v>
      </c>
      <c r="J175" s="223">
        <f t="shared" si="18"/>
        <v>180000</v>
      </c>
      <c r="K175" s="32">
        <f t="shared" si="13"/>
        <v>180000</v>
      </c>
    </row>
    <row r="176" spans="1:13" ht="75" customHeight="1" x14ac:dyDescent="0.25">
      <c r="A176" s="67">
        <v>6</v>
      </c>
      <c r="B176" s="68" t="s">
        <v>99</v>
      </c>
      <c r="C176" s="433" t="s">
        <v>1132</v>
      </c>
      <c r="D176" s="434"/>
      <c r="E176" s="434"/>
      <c r="F176" s="434"/>
      <c r="G176" s="434"/>
      <c r="H176" s="434"/>
      <c r="I176" s="435"/>
      <c r="J176" s="245">
        <f>SUM(J177:J200)</f>
        <v>385006000</v>
      </c>
      <c r="K176" s="32">
        <f t="shared" ref="K176:K219" si="19">ROUND(G176*H176*I176*F176,-3)</f>
        <v>0</v>
      </c>
      <c r="L176" s="248" t="s">
        <v>1036</v>
      </c>
    </row>
    <row r="177" spans="1:12" s="289" customFormat="1" ht="75" customHeight="1" x14ac:dyDescent="0.3">
      <c r="A177" s="211"/>
      <c r="B177" s="17"/>
      <c r="C177" s="20" t="s">
        <v>1130</v>
      </c>
      <c r="D177" s="26"/>
      <c r="E177" s="27" t="s">
        <v>23</v>
      </c>
      <c r="F177" s="33">
        <v>160.19999999999999</v>
      </c>
      <c r="G177" s="493" t="s">
        <v>1125</v>
      </c>
      <c r="H177" s="494"/>
      <c r="I177" s="494"/>
      <c r="J177" s="227" t="s">
        <v>1131</v>
      </c>
      <c r="K177" s="32"/>
      <c r="L177" s="252"/>
    </row>
    <row r="178" spans="1:12" ht="75" customHeight="1" x14ac:dyDescent="0.3">
      <c r="A178" s="67"/>
      <c r="B178" s="68"/>
      <c r="C178" s="25" t="s">
        <v>768</v>
      </c>
      <c r="D178" s="26" t="s">
        <v>24</v>
      </c>
      <c r="E178" s="84" t="s">
        <v>25</v>
      </c>
      <c r="F178" s="33">
        <f>5*0.8*0.1+1.1*0.5*0.05+5.15*0.2*0.05+2*0.5*0.05+1.8*0.3*0.05</f>
        <v>0.55600000000000005</v>
      </c>
      <c r="G178" s="86">
        <v>2828000</v>
      </c>
      <c r="H178" s="87">
        <v>0.8</v>
      </c>
      <c r="I178" s="88">
        <v>1.1479999999999999</v>
      </c>
      <c r="J178" s="223">
        <f>ROUND(F178*G178*H178*I178,-3)</f>
        <v>1444000</v>
      </c>
      <c r="K178" s="32">
        <f t="shared" si="19"/>
        <v>1444000</v>
      </c>
    </row>
    <row r="179" spans="1:12" ht="121.5" customHeight="1" x14ac:dyDescent="0.3">
      <c r="A179" s="67"/>
      <c r="B179" s="68"/>
      <c r="C179" s="25" t="s">
        <v>769</v>
      </c>
      <c r="D179" s="81" t="s">
        <v>63</v>
      </c>
      <c r="E179" s="27" t="s">
        <v>23</v>
      </c>
      <c r="F179" s="33">
        <f>5.1*3.4+3.6*4.2+2.85*1.9</f>
        <v>37.875</v>
      </c>
      <c r="G179" s="49">
        <v>2975000</v>
      </c>
      <c r="H179" s="37">
        <v>0.8</v>
      </c>
      <c r="I179" s="31">
        <v>1.1479999999999999</v>
      </c>
      <c r="J179" s="223">
        <f>ROUND(F179*G179*H179*I179,-3)</f>
        <v>103484000</v>
      </c>
      <c r="K179" s="32">
        <f t="shared" si="19"/>
        <v>103484000</v>
      </c>
    </row>
    <row r="180" spans="1:12" ht="75" customHeight="1" x14ac:dyDescent="0.3">
      <c r="A180" s="67"/>
      <c r="B180" s="68"/>
      <c r="C180" s="25" t="s">
        <v>770</v>
      </c>
      <c r="D180" s="81" t="s">
        <v>435</v>
      </c>
      <c r="E180" s="27" t="s">
        <v>23</v>
      </c>
      <c r="F180" s="33">
        <f>4*3+7.3*4.3</f>
        <v>43.39</v>
      </c>
      <c r="G180" s="29">
        <v>3371000</v>
      </c>
      <c r="H180" s="101">
        <v>0.8</v>
      </c>
      <c r="I180" s="102">
        <v>1.1479999999999999</v>
      </c>
      <c r="J180" s="223">
        <f>ROUND(F180*G180*H180*I180,-3)</f>
        <v>134332000</v>
      </c>
      <c r="K180" s="32">
        <f t="shared" si="19"/>
        <v>134332000</v>
      </c>
    </row>
    <row r="181" spans="1:12" ht="75" customHeight="1" x14ac:dyDescent="0.3">
      <c r="A181" s="67"/>
      <c r="B181" s="68"/>
      <c r="C181" s="25" t="s">
        <v>887</v>
      </c>
      <c r="D181" s="34" t="s">
        <v>52</v>
      </c>
      <c r="E181" s="71" t="s">
        <v>23</v>
      </c>
      <c r="F181" s="33">
        <f>3.6*4.1+4.5*2.9</f>
        <v>27.81</v>
      </c>
      <c r="G181" s="11" t="s">
        <v>53</v>
      </c>
      <c r="H181" s="37">
        <v>0.8</v>
      </c>
      <c r="I181" s="31">
        <v>1.1479999999999999</v>
      </c>
      <c r="J181" s="223">
        <f>ROUND(F181*G181*H181*I181,-3)</f>
        <v>6028000</v>
      </c>
      <c r="K181" s="32">
        <f t="shared" si="19"/>
        <v>6028000</v>
      </c>
    </row>
    <row r="182" spans="1:12" ht="107.25" customHeight="1" x14ac:dyDescent="0.3">
      <c r="A182" s="67"/>
      <c r="B182" s="68"/>
      <c r="C182" s="25" t="s">
        <v>771</v>
      </c>
      <c r="D182" s="81" t="s">
        <v>63</v>
      </c>
      <c r="E182" s="27" t="s">
        <v>23</v>
      </c>
      <c r="F182" s="33">
        <f>6.2*3</f>
        <v>18.600000000000001</v>
      </c>
      <c r="G182" s="49">
        <v>2975000</v>
      </c>
      <c r="H182" s="37">
        <v>0.8</v>
      </c>
      <c r="I182" s="31">
        <v>1.1479999999999999</v>
      </c>
      <c r="J182" s="223">
        <f>ROUND(F182*G182*H182*I182,-3)</f>
        <v>50820000</v>
      </c>
      <c r="K182" s="32">
        <f t="shared" si="19"/>
        <v>50820000</v>
      </c>
    </row>
    <row r="183" spans="1:12" ht="45" x14ac:dyDescent="0.3">
      <c r="A183" s="67"/>
      <c r="B183" s="68"/>
      <c r="C183" s="25" t="s">
        <v>772</v>
      </c>
      <c r="D183" s="34" t="s">
        <v>68</v>
      </c>
      <c r="E183" s="168" t="s">
        <v>23</v>
      </c>
      <c r="F183" s="33">
        <f>6.1*2.9</f>
        <v>17.689999999999998</v>
      </c>
      <c r="G183" s="46">
        <v>213000</v>
      </c>
      <c r="H183" s="37">
        <v>0.8</v>
      </c>
      <c r="I183" s="31">
        <v>1.1479999999999999</v>
      </c>
      <c r="J183" s="223">
        <f t="shared" ref="J183:J196" si="20">ROUND(F183*G183*H183*I183,-3)</f>
        <v>3461000</v>
      </c>
      <c r="K183" s="32">
        <f t="shared" si="19"/>
        <v>3461000</v>
      </c>
    </row>
    <row r="184" spans="1:12" ht="75" x14ac:dyDescent="0.3">
      <c r="A184" s="67"/>
      <c r="B184" s="68"/>
      <c r="C184" s="25" t="s">
        <v>773</v>
      </c>
      <c r="D184" s="34" t="s">
        <v>66</v>
      </c>
      <c r="E184" s="27" t="s">
        <v>23</v>
      </c>
      <c r="F184" s="33">
        <f>2.7*1.2+(0.8*0.4)*11+5.4*1.5+4*1+4*0.6</f>
        <v>21.26</v>
      </c>
      <c r="G184" s="29">
        <v>339000</v>
      </c>
      <c r="H184" s="38">
        <v>0.8</v>
      </c>
      <c r="I184" s="31">
        <v>1.1479999999999999</v>
      </c>
      <c r="J184" s="223">
        <f t="shared" si="20"/>
        <v>6619000</v>
      </c>
      <c r="K184" s="32">
        <f t="shared" si="19"/>
        <v>6619000</v>
      </c>
    </row>
    <row r="185" spans="1:12" ht="45" x14ac:dyDescent="0.3">
      <c r="A185" s="67"/>
      <c r="B185" s="68"/>
      <c r="C185" s="25" t="s">
        <v>774</v>
      </c>
      <c r="D185" s="42" t="s">
        <v>54</v>
      </c>
      <c r="E185" s="27" t="s">
        <v>23</v>
      </c>
      <c r="F185" s="33">
        <f>7.2*1.5+2.7*0.4</f>
        <v>11.88</v>
      </c>
      <c r="G185" s="46">
        <v>213000</v>
      </c>
      <c r="H185" s="52">
        <v>0.8</v>
      </c>
      <c r="I185" s="57">
        <v>1.1479999999999999</v>
      </c>
      <c r="J185" s="223">
        <f t="shared" si="20"/>
        <v>2324000</v>
      </c>
      <c r="K185" s="32">
        <f t="shared" si="19"/>
        <v>2324000</v>
      </c>
    </row>
    <row r="186" spans="1:12" ht="45" x14ac:dyDescent="0.3">
      <c r="A186" s="67"/>
      <c r="B186" s="68"/>
      <c r="C186" s="25" t="s">
        <v>720</v>
      </c>
      <c r="D186" s="44" t="s">
        <v>33</v>
      </c>
      <c r="E186" s="27" t="s">
        <v>23</v>
      </c>
      <c r="F186" s="33">
        <f>6.2*0.8</f>
        <v>4.9600000000000009</v>
      </c>
      <c r="G186" s="29">
        <v>453000</v>
      </c>
      <c r="H186" s="45">
        <v>0.8</v>
      </c>
      <c r="I186" s="31">
        <v>1.1479999999999999</v>
      </c>
      <c r="J186" s="223">
        <f t="shared" si="20"/>
        <v>2064000</v>
      </c>
      <c r="K186" s="32">
        <f t="shared" si="19"/>
        <v>2064000</v>
      </c>
    </row>
    <row r="187" spans="1:12" ht="45" x14ac:dyDescent="0.3">
      <c r="A187" s="67"/>
      <c r="B187" s="68"/>
      <c r="C187" s="25" t="s">
        <v>912</v>
      </c>
      <c r="D187" s="42" t="s">
        <v>32</v>
      </c>
      <c r="E187" s="27" t="s">
        <v>23</v>
      </c>
      <c r="F187" s="33">
        <f>(3.4*4)/2+4.4*1.8+4.5*2.9</f>
        <v>27.77</v>
      </c>
      <c r="G187" s="29">
        <v>215000</v>
      </c>
      <c r="H187" s="30">
        <v>0.8</v>
      </c>
      <c r="I187" s="31">
        <v>1.1479999999999999</v>
      </c>
      <c r="J187" s="223">
        <f t="shared" si="20"/>
        <v>5483000</v>
      </c>
      <c r="K187" s="32">
        <f t="shared" si="19"/>
        <v>5483000</v>
      </c>
    </row>
    <row r="188" spans="1:12" ht="45" x14ac:dyDescent="0.3">
      <c r="A188" s="67"/>
      <c r="B188" s="68"/>
      <c r="C188" s="25" t="s">
        <v>913</v>
      </c>
      <c r="D188" s="34" t="s">
        <v>51</v>
      </c>
      <c r="E188" s="27" t="s">
        <v>23</v>
      </c>
      <c r="F188" s="33">
        <f>(3.4*4)/2+3*4.8</f>
        <v>21.2</v>
      </c>
      <c r="G188" s="29">
        <v>453000</v>
      </c>
      <c r="H188" s="37">
        <v>0.8</v>
      </c>
      <c r="I188" s="31">
        <v>1.1479999999999999</v>
      </c>
      <c r="J188" s="223">
        <f t="shared" si="20"/>
        <v>8820000</v>
      </c>
      <c r="K188" s="32">
        <f t="shared" si="19"/>
        <v>8820000</v>
      </c>
    </row>
    <row r="189" spans="1:12" ht="45" x14ac:dyDescent="0.3">
      <c r="A189" s="67"/>
      <c r="B189" s="68"/>
      <c r="C189" s="25" t="s">
        <v>886</v>
      </c>
      <c r="D189" s="9" t="s">
        <v>88</v>
      </c>
      <c r="E189" s="8" t="s">
        <v>25</v>
      </c>
      <c r="F189" s="33">
        <f>(0.4*0.4*2.25)*2</f>
        <v>0.7200000000000002</v>
      </c>
      <c r="G189" s="11">
        <v>2828000</v>
      </c>
      <c r="H189" s="37">
        <v>0.8</v>
      </c>
      <c r="I189" s="31">
        <v>1.1479999999999999</v>
      </c>
      <c r="J189" s="223">
        <f t="shared" si="20"/>
        <v>1870000</v>
      </c>
      <c r="K189" s="32">
        <f t="shared" si="19"/>
        <v>1870000</v>
      </c>
    </row>
    <row r="190" spans="1:12" ht="45" x14ac:dyDescent="0.3">
      <c r="A190" s="67"/>
      <c r="B190" s="68"/>
      <c r="C190" s="25" t="s">
        <v>775</v>
      </c>
      <c r="D190" s="26" t="s">
        <v>26</v>
      </c>
      <c r="E190" s="27" t="s">
        <v>23</v>
      </c>
      <c r="F190" s="33">
        <f>1.8*2</f>
        <v>3.6</v>
      </c>
      <c r="G190" s="29">
        <v>679000</v>
      </c>
      <c r="H190" s="30">
        <v>0.8</v>
      </c>
      <c r="I190" s="31">
        <v>1.1479999999999999</v>
      </c>
      <c r="J190" s="223">
        <f t="shared" si="20"/>
        <v>2245000</v>
      </c>
      <c r="K190" s="32">
        <f t="shared" si="19"/>
        <v>2245000</v>
      </c>
    </row>
    <row r="191" spans="1:12" ht="45" x14ac:dyDescent="0.3">
      <c r="A191" s="67"/>
      <c r="B191" s="68"/>
      <c r="C191" s="25" t="s">
        <v>885</v>
      </c>
      <c r="D191" s="34" t="s">
        <v>29</v>
      </c>
      <c r="E191" s="27" t="s">
        <v>23</v>
      </c>
      <c r="F191" s="33">
        <f>3*1.3</f>
        <v>3.9000000000000004</v>
      </c>
      <c r="G191" s="29">
        <v>792000</v>
      </c>
      <c r="H191" s="37">
        <v>0.8</v>
      </c>
      <c r="I191" s="31">
        <v>1.1479999999999999</v>
      </c>
      <c r="J191" s="223">
        <f t="shared" si="20"/>
        <v>2837000</v>
      </c>
      <c r="K191" s="32">
        <f t="shared" si="19"/>
        <v>2837000</v>
      </c>
    </row>
    <row r="192" spans="1:12" ht="45" x14ac:dyDescent="0.3">
      <c r="A192" s="67"/>
      <c r="B192" s="68"/>
      <c r="C192" s="25" t="s">
        <v>884</v>
      </c>
      <c r="D192" s="44" t="s">
        <v>33</v>
      </c>
      <c r="E192" s="144" t="s">
        <v>91</v>
      </c>
      <c r="F192" s="33">
        <f>3*1.6+2.4*0.6</f>
        <v>6.24</v>
      </c>
      <c r="G192" s="100">
        <v>453000</v>
      </c>
      <c r="H192" s="101">
        <v>0.8</v>
      </c>
      <c r="I192" s="102">
        <v>1.1479999999999999</v>
      </c>
      <c r="J192" s="222">
        <f t="shared" si="20"/>
        <v>2596000</v>
      </c>
      <c r="K192" s="32">
        <f t="shared" si="19"/>
        <v>2596000</v>
      </c>
    </row>
    <row r="193" spans="1:12" ht="56.25" x14ac:dyDescent="0.3">
      <c r="A193" s="67"/>
      <c r="B193" s="68"/>
      <c r="C193" s="25" t="s">
        <v>776</v>
      </c>
      <c r="D193" s="34" t="s">
        <v>55</v>
      </c>
      <c r="E193" s="27" t="s">
        <v>23</v>
      </c>
      <c r="F193" s="33">
        <f>3.6*1+7.2*3+6.2*1+1.2*0.5</f>
        <v>32</v>
      </c>
      <c r="G193" s="29">
        <v>905000</v>
      </c>
      <c r="H193" s="52">
        <v>0.8</v>
      </c>
      <c r="I193" s="57">
        <v>1.1479999999999999</v>
      </c>
      <c r="J193" s="223">
        <f t="shared" si="20"/>
        <v>26597000</v>
      </c>
      <c r="K193" s="32">
        <f t="shared" si="19"/>
        <v>26597000</v>
      </c>
    </row>
    <row r="194" spans="1:12" ht="45" x14ac:dyDescent="0.3">
      <c r="A194" s="67"/>
      <c r="B194" s="68"/>
      <c r="C194" s="25" t="s">
        <v>777</v>
      </c>
      <c r="D194" s="34" t="s">
        <v>52</v>
      </c>
      <c r="E194" s="27" t="s">
        <v>23</v>
      </c>
      <c r="F194" s="33">
        <f>4*1.2</f>
        <v>4.8</v>
      </c>
      <c r="G194" s="11" t="s">
        <v>53</v>
      </c>
      <c r="H194" s="37">
        <v>0.8</v>
      </c>
      <c r="I194" s="79">
        <v>1.1479999999999999</v>
      </c>
      <c r="J194" s="223">
        <f t="shared" si="20"/>
        <v>1040000</v>
      </c>
      <c r="K194" s="32">
        <f t="shared" si="19"/>
        <v>1040000</v>
      </c>
    </row>
    <row r="195" spans="1:12" ht="45" x14ac:dyDescent="0.3">
      <c r="A195" s="67"/>
      <c r="B195" s="68"/>
      <c r="C195" s="25" t="s">
        <v>778</v>
      </c>
      <c r="D195" s="42" t="s">
        <v>32</v>
      </c>
      <c r="E195" s="27" t="s">
        <v>23</v>
      </c>
      <c r="F195" s="33">
        <f>22.8*4.6</f>
        <v>104.88</v>
      </c>
      <c r="G195" s="29">
        <v>215000</v>
      </c>
      <c r="H195" s="30">
        <v>0.8</v>
      </c>
      <c r="I195" s="31">
        <v>1.1479999999999999</v>
      </c>
      <c r="J195" s="223">
        <f t="shared" si="20"/>
        <v>20709000</v>
      </c>
      <c r="K195" s="32">
        <f t="shared" si="19"/>
        <v>20709000</v>
      </c>
    </row>
    <row r="196" spans="1:12" ht="30" x14ac:dyDescent="0.3">
      <c r="A196" s="67"/>
      <c r="B196" s="68"/>
      <c r="C196" s="25" t="s">
        <v>165</v>
      </c>
      <c r="D196" s="97" t="s">
        <v>92</v>
      </c>
      <c r="E196" s="27" t="s">
        <v>35</v>
      </c>
      <c r="F196" s="54">
        <v>1</v>
      </c>
      <c r="G196" s="46">
        <v>1065100</v>
      </c>
      <c r="H196" s="50">
        <v>1</v>
      </c>
      <c r="I196" s="51">
        <v>1</v>
      </c>
      <c r="J196" s="223">
        <f t="shared" si="20"/>
        <v>1065000</v>
      </c>
      <c r="K196" s="32">
        <f t="shared" si="19"/>
        <v>1065000</v>
      </c>
    </row>
    <row r="197" spans="1:12" ht="30" x14ac:dyDescent="0.3">
      <c r="A197" s="67"/>
      <c r="B197" s="68"/>
      <c r="C197" s="25" t="s">
        <v>779</v>
      </c>
      <c r="D197" s="97" t="s">
        <v>92</v>
      </c>
      <c r="E197" s="27" t="s">
        <v>35</v>
      </c>
      <c r="F197" s="54">
        <v>1</v>
      </c>
      <c r="G197" s="46">
        <v>532550</v>
      </c>
      <c r="H197" s="50">
        <v>1</v>
      </c>
      <c r="I197" s="51">
        <v>1</v>
      </c>
      <c r="J197" s="223">
        <f>ROUND(F197*G197*H197*I197,-3)</f>
        <v>533000</v>
      </c>
      <c r="K197" s="32">
        <f t="shared" si="19"/>
        <v>533000</v>
      </c>
    </row>
    <row r="198" spans="1:12" ht="30" x14ac:dyDescent="0.3">
      <c r="A198" s="67"/>
      <c r="B198" s="68"/>
      <c r="C198" s="25" t="s">
        <v>780</v>
      </c>
      <c r="D198" s="42" t="s">
        <v>205</v>
      </c>
      <c r="E198" s="27" t="s">
        <v>35</v>
      </c>
      <c r="F198" s="33">
        <v>1</v>
      </c>
      <c r="G198" s="29">
        <v>223240</v>
      </c>
      <c r="H198" s="50">
        <v>1</v>
      </c>
      <c r="I198" s="51">
        <v>1</v>
      </c>
      <c r="J198" s="223">
        <f>ROUND(F198*G198*H198*I198,-3)</f>
        <v>223000</v>
      </c>
      <c r="K198" s="32">
        <f t="shared" si="19"/>
        <v>223000</v>
      </c>
    </row>
    <row r="199" spans="1:12" ht="45" x14ac:dyDescent="0.3">
      <c r="A199" s="67"/>
      <c r="B199" s="68"/>
      <c r="C199" s="25" t="s">
        <v>184</v>
      </c>
      <c r="D199" s="62" t="s">
        <v>44</v>
      </c>
      <c r="E199" s="63" t="s">
        <v>45</v>
      </c>
      <c r="F199" s="33">
        <v>8</v>
      </c>
      <c r="G199" s="65">
        <v>28000</v>
      </c>
      <c r="H199" s="66">
        <v>0.8</v>
      </c>
      <c r="I199" s="31">
        <v>1.1479999999999999</v>
      </c>
      <c r="J199" s="223">
        <f>ROUND(F199*G199*H199*I199,-3)</f>
        <v>206000</v>
      </c>
      <c r="K199" s="32">
        <f t="shared" si="19"/>
        <v>206000</v>
      </c>
    </row>
    <row r="200" spans="1:12" ht="45" x14ac:dyDescent="0.3">
      <c r="A200" s="67"/>
      <c r="B200" s="68"/>
      <c r="C200" s="25" t="s">
        <v>185</v>
      </c>
      <c r="D200" s="42" t="s">
        <v>47</v>
      </c>
      <c r="E200" s="63" t="s">
        <v>45</v>
      </c>
      <c r="F200" s="33">
        <v>8</v>
      </c>
      <c r="G200" s="46">
        <v>28000</v>
      </c>
      <c r="H200" s="66">
        <v>0.8</v>
      </c>
      <c r="I200" s="31">
        <v>1.1479999999999999</v>
      </c>
      <c r="J200" s="223">
        <f>ROUND(F200*G200*H200*I200,-3)</f>
        <v>206000</v>
      </c>
      <c r="K200" s="32">
        <f t="shared" si="19"/>
        <v>206000</v>
      </c>
    </row>
    <row r="201" spans="1:12" ht="75" customHeight="1" x14ac:dyDescent="0.3">
      <c r="A201" s="108">
        <v>7</v>
      </c>
      <c r="B201" s="109" t="s">
        <v>103</v>
      </c>
      <c r="C201" s="455" t="s">
        <v>781</v>
      </c>
      <c r="D201" s="456"/>
      <c r="E201" s="456"/>
      <c r="F201" s="456"/>
      <c r="G201" s="456"/>
      <c r="H201" s="456"/>
      <c r="I201" s="457"/>
      <c r="J201" s="221">
        <f>SUM(J204:J213)</f>
        <v>26802000</v>
      </c>
      <c r="K201" s="32">
        <f t="shared" si="19"/>
        <v>0</v>
      </c>
    </row>
    <row r="202" spans="1:12" s="289" customFormat="1" ht="75" customHeight="1" x14ac:dyDescent="0.3">
      <c r="A202" s="211"/>
      <c r="B202" s="17"/>
      <c r="C202" s="20" t="s">
        <v>1129</v>
      </c>
      <c r="D202" s="26"/>
      <c r="E202" s="27" t="s">
        <v>23</v>
      </c>
      <c r="F202" s="33">
        <v>0.3</v>
      </c>
      <c r="G202" s="296">
        <v>26450000</v>
      </c>
      <c r="H202" s="299">
        <v>1</v>
      </c>
      <c r="I202" s="298">
        <v>1.2</v>
      </c>
      <c r="J202" s="223">
        <f>ROUND(F202*G202*H202*I202,-3)</f>
        <v>9522000</v>
      </c>
      <c r="K202" s="32"/>
      <c r="L202" s="252"/>
    </row>
    <row r="203" spans="1:12" s="289" customFormat="1" ht="85.5" customHeight="1" x14ac:dyDescent="0.3">
      <c r="A203" s="211"/>
      <c r="B203" s="17"/>
      <c r="C203" s="20" t="s">
        <v>1130</v>
      </c>
      <c r="D203" s="26"/>
      <c r="E203" s="27" t="s">
        <v>23</v>
      </c>
      <c r="F203" s="33">
        <v>1.5</v>
      </c>
      <c r="G203" s="493" t="s">
        <v>1125</v>
      </c>
      <c r="H203" s="494"/>
      <c r="I203" s="494"/>
      <c r="J203" s="227" t="s">
        <v>1131</v>
      </c>
      <c r="K203" s="32"/>
      <c r="L203" s="252"/>
    </row>
    <row r="204" spans="1:12" ht="45" x14ac:dyDescent="0.3">
      <c r="A204" s="67"/>
      <c r="B204" s="68"/>
      <c r="C204" s="128" t="s">
        <v>782</v>
      </c>
      <c r="D204" s="26" t="s">
        <v>24</v>
      </c>
      <c r="E204" s="27" t="s">
        <v>25</v>
      </c>
      <c r="F204" s="129">
        <f>(0.45*0.6*3)*2</f>
        <v>1.62</v>
      </c>
      <c r="G204" s="29">
        <v>2828000</v>
      </c>
      <c r="H204" s="30">
        <v>0.8</v>
      </c>
      <c r="I204" s="31">
        <v>1.1479999999999999</v>
      </c>
      <c r="J204" s="223">
        <f t="shared" ref="J204:J213" si="21">ROUND(F204*G204*H204*I204,-3)</f>
        <v>4208000</v>
      </c>
      <c r="K204" s="32">
        <f t="shared" si="19"/>
        <v>4208000</v>
      </c>
    </row>
    <row r="205" spans="1:12" ht="45" x14ac:dyDescent="0.3">
      <c r="A205" s="67"/>
      <c r="B205" s="68"/>
      <c r="C205" s="128" t="s">
        <v>783</v>
      </c>
      <c r="D205" s="34" t="s">
        <v>66</v>
      </c>
      <c r="E205" s="27" t="s">
        <v>23</v>
      </c>
      <c r="F205" s="129">
        <f>(1.05*2.8)*4</f>
        <v>11.76</v>
      </c>
      <c r="G205" s="29">
        <v>339000</v>
      </c>
      <c r="H205" s="38">
        <v>0.8</v>
      </c>
      <c r="I205" s="31">
        <v>1.1479999999999999</v>
      </c>
      <c r="J205" s="223">
        <f t="shared" si="21"/>
        <v>3661000</v>
      </c>
      <c r="K205" s="32">
        <f t="shared" si="19"/>
        <v>3661000</v>
      </c>
    </row>
    <row r="206" spans="1:12" ht="45" x14ac:dyDescent="0.3">
      <c r="A206" s="67"/>
      <c r="B206" s="68"/>
      <c r="C206" s="128" t="s">
        <v>784</v>
      </c>
      <c r="D206" s="26" t="s">
        <v>26</v>
      </c>
      <c r="E206" s="27" t="s">
        <v>23</v>
      </c>
      <c r="F206" s="129">
        <f>2.6*2.6</f>
        <v>6.7600000000000007</v>
      </c>
      <c r="G206" s="29">
        <v>679000</v>
      </c>
      <c r="H206" s="30">
        <v>0.8</v>
      </c>
      <c r="I206" s="31">
        <v>1.1479999999999999</v>
      </c>
      <c r="J206" s="223">
        <f t="shared" si="21"/>
        <v>4215000</v>
      </c>
      <c r="K206" s="32">
        <f t="shared" si="19"/>
        <v>4215000</v>
      </c>
    </row>
    <row r="207" spans="1:12" ht="45" x14ac:dyDescent="0.3">
      <c r="A207" s="67"/>
      <c r="B207" s="68"/>
      <c r="C207" s="128" t="s">
        <v>883</v>
      </c>
      <c r="D207" s="44" t="s">
        <v>33</v>
      </c>
      <c r="E207" s="144" t="s">
        <v>91</v>
      </c>
      <c r="F207" s="129">
        <f>1.2*3.2+(0.8*2.5)*2</f>
        <v>7.84</v>
      </c>
      <c r="G207" s="100">
        <v>453000</v>
      </c>
      <c r="H207" s="101">
        <v>0.08</v>
      </c>
      <c r="I207" s="102">
        <v>1.1479999999999999</v>
      </c>
      <c r="J207" s="222">
        <f t="shared" si="21"/>
        <v>326000</v>
      </c>
      <c r="K207" s="32">
        <f t="shared" si="19"/>
        <v>326000</v>
      </c>
    </row>
    <row r="208" spans="1:12" ht="45" x14ac:dyDescent="0.3">
      <c r="A208" s="67"/>
      <c r="B208" s="68"/>
      <c r="C208" s="128" t="s">
        <v>882</v>
      </c>
      <c r="D208" s="34" t="s">
        <v>51</v>
      </c>
      <c r="E208" s="27" t="s">
        <v>23</v>
      </c>
      <c r="F208" s="129">
        <f>2.2*5.1</f>
        <v>11.22</v>
      </c>
      <c r="G208" s="29">
        <v>453000</v>
      </c>
      <c r="H208" s="37">
        <v>0.8</v>
      </c>
      <c r="I208" s="31">
        <v>1.1479999999999999</v>
      </c>
      <c r="J208" s="223">
        <f t="shared" si="21"/>
        <v>4668000</v>
      </c>
      <c r="K208" s="32">
        <f t="shared" si="19"/>
        <v>4668000</v>
      </c>
    </row>
    <row r="209" spans="1:12" ht="45" x14ac:dyDescent="0.3">
      <c r="A209" s="67"/>
      <c r="B209" s="68"/>
      <c r="C209" s="128" t="s">
        <v>785</v>
      </c>
      <c r="D209" s="34" t="s">
        <v>90</v>
      </c>
      <c r="E209" s="27" t="s">
        <v>23</v>
      </c>
      <c r="F209" s="129">
        <f>7.2*5.1</f>
        <v>36.72</v>
      </c>
      <c r="G209" s="29">
        <v>181000</v>
      </c>
      <c r="H209" s="101">
        <v>0.8</v>
      </c>
      <c r="I209" s="102">
        <v>1.1479999999999999</v>
      </c>
      <c r="J209" s="223">
        <f t="shared" si="21"/>
        <v>6104000</v>
      </c>
      <c r="K209" s="32">
        <f t="shared" si="19"/>
        <v>6104000</v>
      </c>
    </row>
    <row r="210" spans="1:12" ht="45" x14ac:dyDescent="0.3">
      <c r="A210" s="67"/>
      <c r="B210" s="68"/>
      <c r="C210" s="128" t="s">
        <v>786</v>
      </c>
      <c r="D210" s="42" t="s">
        <v>32</v>
      </c>
      <c r="E210" s="27" t="s">
        <v>23</v>
      </c>
      <c r="F210" s="129">
        <f>2.5*5.1</f>
        <v>12.75</v>
      </c>
      <c r="G210" s="29">
        <v>215000</v>
      </c>
      <c r="H210" s="30">
        <v>0.8</v>
      </c>
      <c r="I210" s="31">
        <v>1.1479999999999999</v>
      </c>
      <c r="J210" s="223">
        <f t="shared" si="21"/>
        <v>2518000</v>
      </c>
      <c r="K210" s="32">
        <f t="shared" si="19"/>
        <v>2518000</v>
      </c>
    </row>
    <row r="211" spans="1:12" ht="45" x14ac:dyDescent="0.3">
      <c r="A211" s="67"/>
      <c r="B211" s="68"/>
      <c r="C211" s="128" t="s">
        <v>320</v>
      </c>
      <c r="D211" s="58" t="s">
        <v>41</v>
      </c>
      <c r="E211" s="59" t="s">
        <v>42</v>
      </c>
      <c r="F211" s="129">
        <v>15</v>
      </c>
      <c r="G211" s="11">
        <v>10650</v>
      </c>
      <c r="H211" s="60">
        <v>1</v>
      </c>
      <c r="I211" s="61">
        <v>1</v>
      </c>
      <c r="J211" s="223">
        <f t="shared" si="21"/>
        <v>160000</v>
      </c>
      <c r="K211" s="32">
        <f t="shared" si="19"/>
        <v>160000</v>
      </c>
    </row>
    <row r="212" spans="1:12" s="169" customFormat="1" ht="45" x14ac:dyDescent="0.3">
      <c r="A212" s="108"/>
      <c r="B212" s="109"/>
      <c r="C212" s="184" t="s">
        <v>926</v>
      </c>
      <c r="D212" s="239" t="s">
        <v>41</v>
      </c>
      <c r="E212" s="240" t="s">
        <v>42</v>
      </c>
      <c r="F212" s="241">
        <v>2</v>
      </c>
      <c r="G212" s="139">
        <v>5330</v>
      </c>
      <c r="H212" s="242">
        <v>1</v>
      </c>
      <c r="I212" s="243">
        <v>1</v>
      </c>
      <c r="J212" s="222">
        <f t="shared" si="21"/>
        <v>11000</v>
      </c>
      <c r="K212" s="32">
        <f t="shared" si="19"/>
        <v>11000</v>
      </c>
      <c r="L212" s="253"/>
    </row>
    <row r="213" spans="1:12" ht="45" x14ac:dyDescent="0.3">
      <c r="A213" s="67"/>
      <c r="B213" s="8"/>
      <c r="C213" s="134" t="s">
        <v>914</v>
      </c>
      <c r="D213" s="34" t="s">
        <v>29</v>
      </c>
      <c r="E213" s="27" t="s">
        <v>23</v>
      </c>
      <c r="F213" s="210">
        <f>0.8*1.6</f>
        <v>1.2800000000000002</v>
      </c>
      <c r="G213" s="29">
        <v>792000</v>
      </c>
      <c r="H213" s="37">
        <v>0.8</v>
      </c>
      <c r="I213" s="31">
        <v>1.1479999999999999</v>
      </c>
      <c r="J213" s="223">
        <f t="shared" si="21"/>
        <v>931000</v>
      </c>
      <c r="K213" s="32">
        <f t="shared" si="19"/>
        <v>931000</v>
      </c>
    </row>
    <row r="214" spans="1:12" ht="75" customHeight="1" x14ac:dyDescent="0.3">
      <c r="A214" s="16">
        <v>8</v>
      </c>
      <c r="B214" s="17" t="s">
        <v>787</v>
      </c>
      <c r="C214" s="433" t="s">
        <v>788</v>
      </c>
      <c r="D214" s="434"/>
      <c r="E214" s="434"/>
      <c r="F214" s="434"/>
      <c r="G214" s="434"/>
      <c r="H214" s="434"/>
      <c r="I214" s="435"/>
      <c r="J214" s="221">
        <f>SUM(J216:J219)</f>
        <v>18139000</v>
      </c>
      <c r="K214" s="32">
        <f t="shared" si="19"/>
        <v>0</v>
      </c>
    </row>
    <row r="215" spans="1:12" ht="87" customHeight="1" x14ac:dyDescent="0.3">
      <c r="A215" s="67"/>
      <c r="B215" s="68"/>
      <c r="C215" s="20" t="s">
        <v>789</v>
      </c>
      <c r="D215" s="26"/>
      <c r="E215" s="27" t="s">
        <v>23</v>
      </c>
      <c r="F215" s="33">
        <v>6.6</v>
      </c>
      <c r="G215" s="493" t="s">
        <v>1125</v>
      </c>
      <c r="H215" s="494"/>
      <c r="I215" s="494"/>
      <c r="J215" s="227"/>
      <c r="K215" s="32"/>
    </row>
    <row r="216" spans="1:12" ht="45" x14ac:dyDescent="0.3">
      <c r="A216" s="16"/>
      <c r="B216" s="17"/>
      <c r="C216" s="134" t="s">
        <v>915</v>
      </c>
      <c r="D216" s="34" t="s">
        <v>51</v>
      </c>
      <c r="E216" s="27" t="s">
        <v>23</v>
      </c>
      <c r="F216" s="204">
        <f>5*2.45</f>
        <v>12.25</v>
      </c>
      <c r="G216" s="29">
        <v>453000</v>
      </c>
      <c r="H216" s="37">
        <v>0.8</v>
      </c>
      <c r="I216" s="31">
        <v>1.1479999999999999</v>
      </c>
      <c r="J216" s="223">
        <f>ROUND(F216*G216*H216*I216,-3)</f>
        <v>5096000</v>
      </c>
      <c r="K216" s="32">
        <f t="shared" si="19"/>
        <v>5096000</v>
      </c>
    </row>
    <row r="217" spans="1:12" ht="45" x14ac:dyDescent="0.3">
      <c r="A217" s="69"/>
      <c r="B217" s="8"/>
      <c r="C217" s="82" t="s">
        <v>790</v>
      </c>
      <c r="D217" s="34" t="s">
        <v>101</v>
      </c>
      <c r="E217" s="71" t="s">
        <v>23</v>
      </c>
      <c r="F217" s="89">
        <f>5*5.6</f>
        <v>28</v>
      </c>
      <c r="G217" s="29">
        <v>339000</v>
      </c>
      <c r="H217" s="37">
        <v>0.8</v>
      </c>
      <c r="I217" s="31">
        <v>1.1479999999999999</v>
      </c>
      <c r="J217" s="223">
        <f>ROUND(F217*G217*H217*I217,-3)</f>
        <v>8717000</v>
      </c>
      <c r="K217" s="32">
        <f t="shared" si="19"/>
        <v>8717000</v>
      </c>
    </row>
    <row r="218" spans="1:12" ht="45" x14ac:dyDescent="0.3">
      <c r="A218" s="69"/>
      <c r="B218" s="8"/>
      <c r="C218" s="82" t="s">
        <v>791</v>
      </c>
      <c r="D218" s="42" t="s">
        <v>32</v>
      </c>
      <c r="E218" s="27" t="s">
        <v>23</v>
      </c>
      <c r="F218" s="89">
        <f>5*4.2</f>
        <v>21</v>
      </c>
      <c r="G218" s="29">
        <v>215000</v>
      </c>
      <c r="H218" s="30">
        <v>0.8</v>
      </c>
      <c r="I218" s="31">
        <v>1.1479999999999999</v>
      </c>
      <c r="J218" s="223">
        <f>ROUND(F218*G218*H218*I218,-3)</f>
        <v>4147000</v>
      </c>
      <c r="K218" s="32">
        <f t="shared" si="19"/>
        <v>4147000</v>
      </c>
    </row>
    <row r="219" spans="1:12" ht="30" x14ac:dyDescent="0.3">
      <c r="A219" s="69"/>
      <c r="B219" s="8"/>
      <c r="C219" s="82" t="s">
        <v>780</v>
      </c>
      <c r="D219" s="42" t="s">
        <v>205</v>
      </c>
      <c r="E219" s="27" t="s">
        <v>35</v>
      </c>
      <c r="F219" s="76">
        <v>1</v>
      </c>
      <c r="G219" s="29">
        <v>223240</v>
      </c>
      <c r="H219" s="50">
        <v>0.8</v>
      </c>
      <c r="I219" s="51">
        <v>1</v>
      </c>
      <c r="J219" s="223">
        <f>ROUND(F219*G219*H219*I219,-3)</f>
        <v>179000</v>
      </c>
      <c r="K219" s="32">
        <f t="shared" si="19"/>
        <v>179000</v>
      </c>
    </row>
    <row r="220" spans="1:12" ht="75" customHeight="1" x14ac:dyDescent="0.3">
      <c r="A220" s="67">
        <v>9</v>
      </c>
      <c r="B220" s="68" t="s">
        <v>106</v>
      </c>
      <c r="C220" s="433" t="s">
        <v>792</v>
      </c>
      <c r="D220" s="434"/>
      <c r="E220" s="434"/>
      <c r="F220" s="434"/>
      <c r="G220" s="434"/>
      <c r="H220" s="434"/>
      <c r="I220" s="435"/>
      <c r="J220" s="221">
        <f>SUM(J222:J228)</f>
        <v>32770000</v>
      </c>
      <c r="K220" s="32">
        <f t="shared" ref="K220:K265" si="22">ROUND(G220*H220*I220*F220,-3)</f>
        <v>0</v>
      </c>
    </row>
    <row r="221" spans="1:12" ht="75" customHeight="1" x14ac:dyDescent="0.3">
      <c r="A221" s="110"/>
      <c r="B221" s="111"/>
      <c r="C221" s="20" t="s">
        <v>793</v>
      </c>
      <c r="D221" s="26"/>
      <c r="E221" s="27" t="s">
        <v>23</v>
      </c>
      <c r="F221" s="33">
        <v>1.7</v>
      </c>
      <c r="G221" s="493" t="s">
        <v>1125</v>
      </c>
      <c r="H221" s="494"/>
      <c r="I221" s="494"/>
      <c r="J221" s="227"/>
      <c r="K221" s="32"/>
    </row>
    <row r="222" spans="1:12" ht="45" x14ac:dyDescent="0.3">
      <c r="A222" s="93"/>
      <c r="B222" s="94"/>
      <c r="C222" s="70" t="s">
        <v>916</v>
      </c>
      <c r="D222" s="34" t="s">
        <v>51</v>
      </c>
      <c r="E222" s="27" t="s">
        <v>23</v>
      </c>
      <c r="F222" s="99">
        <f>5*3.9</f>
        <v>19.5</v>
      </c>
      <c r="G222" s="29">
        <v>453000</v>
      </c>
      <c r="H222" s="37">
        <v>0.8</v>
      </c>
      <c r="I222" s="31">
        <v>1.1479999999999999</v>
      </c>
      <c r="J222" s="223">
        <f t="shared" ref="J222:J228" si="23">ROUND(F222*G222*H222*I222,-3)</f>
        <v>8113000</v>
      </c>
      <c r="K222" s="32">
        <f t="shared" si="22"/>
        <v>8113000</v>
      </c>
    </row>
    <row r="223" spans="1:12" ht="45" x14ac:dyDescent="0.3">
      <c r="A223" s="69"/>
      <c r="B223" s="8"/>
      <c r="C223" s="82" t="s">
        <v>917</v>
      </c>
      <c r="D223" s="119" t="s">
        <v>107</v>
      </c>
      <c r="E223" s="63" t="s">
        <v>23</v>
      </c>
      <c r="F223" s="89">
        <f>3*0.7+1.2*1.95+0.5*3</f>
        <v>5.9399999999999995</v>
      </c>
      <c r="G223" s="120">
        <v>792000</v>
      </c>
      <c r="H223" s="37">
        <v>0.8</v>
      </c>
      <c r="I223" s="57">
        <v>1.1479999999999999</v>
      </c>
      <c r="J223" s="226">
        <f t="shared" si="23"/>
        <v>4321000</v>
      </c>
      <c r="K223" s="32">
        <f t="shared" si="22"/>
        <v>4321000</v>
      </c>
    </row>
    <row r="224" spans="1:12" ht="45" x14ac:dyDescent="0.3">
      <c r="A224" s="69"/>
      <c r="B224" s="8"/>
      <c r="C224" s="82" t="s">
        <v>881</v>
      </c>
      <c r="D224" s="34" t="s">
        <v>101</v>
      </c>
      <c r="E224" s="71" t="s">
        <v>23</v>
      </c>
      <c r="F224" s="89">
        <f>0.5*1.2+6*5</f>
        <v>30.6</v>
      </c>
      <c r="G224" s="29">
        <v>339000</v>
      </c>
      <c r="H224" s="37">
        <v>0.8</v>
      </c>
      <c r="I224" s="31">
        <v>1.1479999999999999</v>
      </c>
      <c r="J224" s="223">
        <f t="shared" si="23"/>
        <v>9527000</v>
      </c>
      <c r="K224" s="32">
        <f t="shared" si="22"/>
        <v>9527000</v>
      </c>
    </row>
    <row r="225" spans="1:13" ht="45" x14ac:dyDescent="0.3">
      <c r="A225" s="69"/>
      <c r="B225" s="8"/>
      <c r="C225" s="82" t="s">
        <v>794</v>
      </c>
      <c r="D225" s="26" t="s">
        <v>161</v>
      </c>
      <c r="E225" s="71" t="s">
        <v>23</v>
      </c>
      <c r="F225" s="89">
        <f>3.7*2.4</f>
        <v>8.8800000000000008</v>
      </c>
      <c r="G225" s="11">
        <v>396000</v>
      </c>
      <c r="H225" s="37">
        <v>0.8</v>
      </c>
      <c r="I225" s="31">
        <v>1.1479999999999999</v>
      </c>
      <c r="J225" s="223">
        <f t="shared" si="23"/>
        <v>3230000</v>
      </c>
      <c r="K225" s="32">
        <f t="shared" si="22"/>
        <v>3230000</v>
      </c>
    </row>
    <row r="226" spans="1:13" ht="45" x14ac:dyDescent="0.3">
      <c r="A226" s="69"/>
      <c r="B226" s="8"/>
      <c r="C226" s="82" t="s">
        <v>795</v>
      </c>
      <c r="D226" s="42" t="s">
        <v>32</v>
      </c>
      <c r="E226" s="27" t="s">
        <v>23</v>
      </c>
      <c r="F226" s="89">
        <f>5.6*5</f>
        <v>28</v>
      </c>
      <c r="G226" s="29">
        <v>215000</v>
      </c>
      <c r="H226" s="30">
        <v>0.8</v>
      </c>
      <c r="I226" s="31">
        <v>1.1479999999999999</v>
      </c>
      <c r="J226" s="223">
        <f t="shared" si="23"/>
        <v>5529000</v>
      </c>
      <c r="K226" s="32">
        <f t="shared" si="22"/>
        <v>5529000</v>
      </c>
    </row>
    <row r="227" spans="1:13" ht="45" x14ac:dyDescent="0.3">
      <c r="A227" s="69"/>
      <c r="B227" s="8"/>
      <c r="C227" s="82" t="s">
        <v>796</v>
      </c>
      <c r="D227" s="44" t="s">
        <v>33</v>
      </c>
      <c r="E227" s="27" t="s">
        <v>23</v>
      </c>
      <c r="F227" s="89">
        <f>1.8*1.6</f>
        <v>2.8800000000000003</v>
      </c>
      <c r="G227" s="29">
        <v>453000</v>
      </c>
      <c r="H227" s="45">
        <v>0.8</v>
      </c>
      <c r="I227" s="31">
        <v>1.1479999999999999</v>
      </c>
      <c r="J227" s="223">
        <f t="shared" si="23"/>
        <v>1198000</v>
      </c>
      <c r="K227" s="32">
        <f t="shared" si="22"/>
        <v>1198000</v>
      </c>
    </row>
    <row r="228" spans="1:13" ht="30" x14ac:dyDescent="0.3">
      <c r="A228" s="69"/>
      <c r="B228" s="8"/>
      <c r="C228" s="82" t="s">
        <v>797</v>
      </c>
      <c r="D228" s="189" t="s">
        <v>58</v>
      </c>
      <c r="E228" s="27" t="s">
        <v>35</v>
      </c>
      <c r="F228" s="89">
        <v>1</v>
      </c>
      <c r="G228" s="29">
        <v>1065100</v>
      </c>
      <c r="H228" s="50">
        <v>0.8</v>
      </c>
      <c r="I228" s="51">
        <v>1</v>
      </c>
      <c r="J228" s="229">
        <f t="shared" si="23"/>
        <v>852000</v>
      </c>
      <c r="K228" s="32">
        <f t="shared" si="22"/>
        <v>852000</v>
      </c>
    </row>
    <row r="229" spans="1:13" ht="75" customHeight="1" x14ac:dyDescent="0.3">
      <c r="A229" s="67">
        <v>10</v>
      </c>
      <c r="B229" s="68" t="s">
        <v>798</v>
      </c>
      <c r="C229" s="433" t="s">
        <v>799</v>
      </c>
      <c r="D229" s="434"/>
      <c r="E229" s="434"/>
      <c r="F229" s="434"/>
      <c r="G229" s="434"/>
      <c r="H229" s="434"/>
      <c r="I229" s="435"/>
      <c r="J229" s="221">
        <f>SUM(J232:J238)</f>
        <v>36017000</v>
      </c>
      <c r="K229" s="32">
        <f t="shared" si="22"/>
        <v>0</v>
      </c>
    </row>
    <row r="230" spans="1:13" s="289" customFormat="1" ht="75" customHeight="1" x14ac:dyDescent="0.3">
      <c r="A230" s="211"/>
      <c r="B230" s="17"/>
      <c r="C230" s="20" t="s">
        <v>1129</v>
      </c>
      <c r="D230" s="26"/>
      <c r="E230" s="27" t="s">
        <v>23</v>
      </c>
      <c r="F230" s="33">
        <v>1.4</v>
      </c>
      <c r="G230" s="296">
        <v>26450000</v>
      </c>
      <c r="H230" s="299">
        <v>1</v>
      </c>
      <c r="I230" s="298">
        <v>1.2</v>
      </c>
      <c r="J230" s="223">
        <f>ROUND(F230*G230*H230*I230,-3)</f>
        <v>44436000</v>
      </c>
      <c r="K230" s="32">
        <f t="shared" si="22"/>
        <v>44436000</v>
      </c>
      <c r="L230" s="252"/>
    </row>
    <row r="231" spans="1:13" s="289" customFormat="1" ht="75" customHeight="1" x14ac:dyDescent="0.3">
      <c r="A231" s="211"/>
      <c r="B231" s="17"/>
      <c r="C231" s="20" t="s">
        <v>1130</v>
      </c>
      <c r="D231" s="26"/>
      <c r="E231" s="27" t="s">
        <v>23</v>
      </c>
      <c r="F231" s="33">
        <v>1.3</v>
      </c>
      <c r="G231" s="493" t="s">
        <v>1133</v>
      </c>
      <c r="H231" s="494"/>
      <c r="I231" s="494"/>
      <c r="J231" s="227" t="s">
        <v>1131</v>
      </c>
      <c r="K231" s="32"/>
      <c r="L231" s="252"/>
    </row>
    <row r="232" spans="1:13" ht="45" x14ac:dyDescent="0.3">
      <c r="A232" s="67"/>
      <c r="B232" s="68"/>
      <c r="C232" s="25" t="s">
        <v>918</v>
      </c>
      <c r="D232" s="9" t="s">
        <v>88</v>
      </c>
      <c r="E232" s="8" t="s">
        <v>25</v>
      </c>
      <c r="F232" s="33">
        <f>(0.55*0.55*3.2)*2</f>
        <v>1.9360000000000004</v>
      </c>
      <c r="G232" s="11">
        <v>2828000</v>
      </c>
      <c r="H232" s="37">
        <v>0.8</v>
      </c>
      <c r="I232" s="31">
        <v>1.1479999999999999</v>
      </c>
      <c r="J232" s="223">
        <f t="shared" ref="J232:J238" si="24">ROUND(F232*G232*H232*I232,-3)</f>
        <v>5028000</v>
      </c>
      <c r="K232" s="32">
        <f t="shared" si="22"/>
        <v>5028000</v>
      </c>
    </row>
    <row r="233" spans="1:13" ht="45" x14ac:dyDescent="0.3">
      <c r="A233" s="67"/>
      <c r="B233" s="68"/>
      <c r="C233" s="25" t="s">
        <v>800</v>
      </c>
      <c r="D233" s="34" t="s">
        <v>28</v>
      </c>
      <c r="E233" s="27" t="s">
        <v>23</v>
      </c>
      <c r="F233" s="33">
        <f>(0.55*3)*5</f>
        <v>8.25</v>
      </c>
      <c r="G233" s="11">
        <v>396000</v>
      </c>
      <c r="H233" s="38">
        <v>0.8</v>
      </c>
      <c r="I233" s="31">
        <v>1.1479999999999999</v>
      </c>
      <c r="J233" s="223">
        <f t="shared" si="24"/>
        <v>3000000</v>
      </c>
      <c r="K233" s="32">
        <f t="shared" si="22"/>
        <v>3000000</v>
      </c>
    </row>
    <row r="234" spans="1:13" ht="45" x14ac:dyDescent="0.3">
      <c r="A234" s="67"/>
      <c r="B234" s="68"/>
      <c r="C234" s="25" t="s">
        <v>801</v>
      </c>
      <c r="D234" s="26" t="s">
        <v>26</v>
      </c>
      <c r="E234" s="27" t="s">
        <v>23</v>
      </c>
      <c r="F234" s="33">
        <f>4.1*3</f>
        <v>12.299999999999999</v>
      </c>
      <c r="G234" s="29">
        <v>679000</v>
      </c>
      <c r="H234" s="30">
        <v>1</v>
      </c>
      <c r="I234" s="31">
        <v>1.1479999999999999</v>
      </c>
      <c r="J234" s="223">
        <f t="shared" si="24"/>
        <v>9588000</v>
      </c>
      <c r="K234" s="32">
        <f t="shared" si="22"/>
        <v>9588000</v>
      </c>
    </row>
    <row r="235" spans="1:13" ht="45" x14ac:dyDescent="0.3">
      <c r="A235" s="67"/>
      <c r="B235" s="68"/>
      <c r="C235" s="25" t="s">
        <v>802</v>
      </c>
      <c r="D235" s="44" t="s">
        <v>33</v>
      </c>
      <c r="E235" s="144" t="s">
        <v>91</v>
      </c>
      <c r="F235" s="33">
        <f>5*0.5</f>
        <v>2.5</v>
      </c>
      <c r="G235" s="100">
        <v>453000</v>
      </c>
      <c r="H235" s="101">
        <v>0.8</v>
      </c>
      <c r="I235" s="102">
        <v>1.1479999999999999</v>
      </c>
      <c r="J235" s="222">
        <f t="shared" si="24"/>
        <v>1040000</v>
      </c>
      <c r="K235" s="32">
        <f t="shared" si="22"/>
        <v>1040000</v>
      </c>
    </row>
    <row r="236" spans="1:13" ht="45" x14ac:dyDescent="0.3">
      <c r="A236" s="67"/>
      <c r="B236" s="68"/>
      <c r="C236" s="25" t="s">
        <v>920</v>
      </c>
      <c r="D236" s="34" t="s">
        <v>51</v>
      </c>
      <c r="E236" s="27" t="s">
        <v>23</v>
      </c>
      <c r="F236" s="33">
        <f>5.3*1</f>
        <v>5.3</v>
      </c>
      <c r="G236" s="29">
        <v>453000</v>
      </c>
      <c r="H236" s="37">
        <v>0.8</v>
      </c>
      <c r="I236" s="31">
        <v>1.1479999999999999</v>
      </c>
      <c r="J236" s="223">
        <f t="shared" si="24"/>
        <v>2205000</v>
      </c>
      <c r="K236" s="32">
        <f t="shared" si="22"/>
        <v>2205000</v>
      </c>
    </row>
    <row r="237" spans="1:13" ht="45" x14ac:dyDescent="0.3">
      <c r="A237" s="67"/>
      <c r="B237" s="68"/>
      <c r="C237" s="25" t="s">
        <v>919</v>
      </c>
      <c r="D237" s="34" t="s">
        <v>55</v>
      </c>
      <c r="E237" s="27" t="s">
        <v>23</v>
      </c>
      <c r="F237" s="33">
        <f>5*1.2</f>
        <v>6</v>
      </c>
      <c r="G237" s="29">
        <v>905000</v>
      </c>
      <c r="H237" s="52">
        <v>0.8</v>
      </c>
      <c r="I237" s="57">
        <v>1.1479999999999999</v>
      </c>
      <c r="J237" s="223">
        <f t="shared" si="24"/>
        <v>4987000</v>
      </c>
      <c r="K237" s="32">
        <f t="shared" si="22"/>
        <v>4987000</v>
      </c>
    </row>
    <row r="238" spans="1:13" ht="45" x14ac:dyDescent="0.3">
      <c r="A238" s="67"/>
      <c r="B238" s="68"/>
      <c r="C238" s="25" t="s">
        <v>803</v>
      </c>
      <c r="D238" s="42" t="s">
        <v>32</v>
      </c>
      <c r="E238" s="27" t="s">
        <v>23</v>
      </c>
      <c r="F238" s="33">
        <f>5*10.3</f>
        <v>51.5</v>
      </c>
      <c r="G238" s="29">
        <v>215000</v>
      </c>
      <c r="H238" s="30">
        <v>0.8</v>
      </c>
      <c r="I238" s="31">
        <v>1.1479999999999999</v>
      </c>
      <c r="J238" s="223">
        <f t="shared" si="24"/>
        <v>10169000</v>
      </c>
      <c r="K238" s="32">
        <f t="shared" si="22"/>
        <v>10169000</v>
      </c>
    </row>
    <row r="239" spans="1:13" s="169" customFormat="1" ht="75" customHeight="1" x14ac:dyDescent="0.3">
      <c r="A239" s="108">
        <v>11</v>
      </c>
      <c r="B239" s="109" t="s">
        <v>1139</v>
      </c>
      <c r="C239" s="455" t="s">
        <v>1151</v>
      </c>
      <c r="D239" s="456"/>
      <c r="E239" s="456"/>
      <c r="F239" s="456"/>
      <c r="G239" s="456"/>
      <c r="H239" s="456"/>
      <c r="I239" s="457"/>
      <c r="J239" s="221">
        <f>SUM(J240:J249)</f>
        <v>30289000</v>
      </c>
      <c r="K239" s="32">
        <f t="shared" si="22"/>
        <v>0</v>
      </c>
      <c r="L239" s="253"/>
      <c r="M239" s="261">
        <f t="shared" ref="M239:M249" si="25">J239-K239</f>
        <v>30289000</v>
      </c>
    </row>
    <row r="240" spans="1:13" s="289" customFormat="1" ht="95.25" customHeight="1" x14ac:dyDescent="0.25">
      <c r="A240" s="67"/>
      <c r="B240" s="68"/>
      <c r="C240" s="20" t="s">
        <v>1140</v>
      </c>
      <c r="D240" s="26"/>
      <c r="E240" s="27" t="s">
        <v>23</v>
      </c>
      <c r="F240" s="33">
        <v>6.9</v>
      </c>
      <c r="G240" s="464" t="s">
        <v>1039</v>
      </c>
      <c r="H240" s="464"/>
      <c r="I240" s="465"/>
      <c r="J240" s="227"/>
      <c r="K240" s="32"/>
      <c r="L240" s="254" t="s">
        <v>1141</v>
      </c>
      <c r="M240" s="261">
        <f t="shared" si="25"/>
        <v>0</v>
      </c>
    </row>
    <row r="241" spans="1:13" s="289" customFormat="1" ht="45" x14ac:dyDescent="0.3">
      <c r="A241" s="69"/>
      <c r="B241" s="8"/>
      <c r="C241" s="82" t="s">
        <v>1142</v>
      </c>
      <c r="D241" s="26" t="s">
        <v>95</v>
      </c>
      <c r="E241" s="71" t="s">
        <v>25</v>
      </c>
      <c r="F241" s="89">
        <f>(4.9*0.3*0.1)*2</f>
        <v>0.29399999999999998</v>
      </c>
      <c r="G241" s="11">
        <v>1000000</v>
      </c>
      <c r="H241" s="45">
        <v>0.8</v>
      </c>
      <c r="I241" s="31">
        <v>1.1479999999999999</v>
      </c>
      <c r="J241" s="223">
        <f t="shared" ref="J241:J249" si="26">ROUND(F241*G241*H241*I241,-3)</f>
        <v>270000</v>
      </c>
      <c r="K241" s="32">
        <f t="shared" si="22"/>
        <v>270000</v>
      </c>
      <c r="L241" s="252"/>
      <c r="M241" s="261">
        <f t="shared" si="25"/>
        <v>0</v>
      </c>
    </row>
    <row r="242" spans="1:13" s="289" customFormat="1" ht="45" x14ac:dyDescent="0.3">
      <c r="A242" s="69"/>
      <c r="B242" s="8"/>
      <c r="C242" s="82" t="s">
        <v>1143</v>
      </c>
      <c r="D242" s="34" t="s">
        <v>28</v>
      </c>
      <c r="E242" s="27" t="s">
        <v>23</v>
      </c>
      <c r="F242" s="89">
        <f>(4.9*0.4)*2</f>
        <v>3.9200000000000004</v>
      </c>
      <c r="G242" s="11">
        <v>396000</v>
      </c>
      <c r="H242" s="38">
        <v>0.8</v>
      </c>
      <c r="I242" s="31">
        <v>1.1479999999999999</v>
      </c>
      <c r="J242" s="223">
        <f t="shared" si="26"/>
        <v>1426000</v>
      </c>
      <c r="K242" s="32">
        <f t="shared" si="22"/>
        <v>1426000</v>
      </c>
      <c r="L242" s="252"/>
      <c r="M242" s="261">
        <f t="shared" si="25"/>
        <v>0</v>
      </c>
    </row>
    <row r="243" spans="1:13" s="289" customFormat="1" ht="45" x14ac:dyDescent="0.3">
      <c r="A243" s="69"/>
      <c r="B243" s="8"/>
      <c r="C243" s="70" t="s">
        <v>1144</v>
      </c>
      <c r="D243" s="34" t="s">
        <v>31</v>
      </c>
      <c r="E243" s="27" t="s">
        <v>23</v>
      </c>
      <c r="F243" s="89">
        <f>4.2*4.9</f>
        <v>20.580000000000002</v>
      </c>
      <c r="G243" s="29">
        <v>339000</v>
      </c>
      <c r="H243" s="37">
        <v>0.8</v>
      </c>
      <c r="I243" s="31">
        <v>1.1479999999999999</v>
      </c>
      <c r="J243" s="223">
        <f t="shared" si="26"/>
        <v>6407000</v>
      </c>
      <c r="K243" s="32">
        <f t="shared" si="22"/>
        <v>6407000</v>
      </c>
      <c r="L243" s="252"/>
      <c r="M243" s="261">
        <f t="shared" si="25"/>
        <v>0</v>
      </c>
    </row>
    <row r="244" spans="1:13" s="289" customFormat="1" ht="45" x14ac:dyDescent="0.3">
      <c r="A244" s="69"/>
      <c r="B244" s="8"/>
      <c r="C244" s="82" t="s">
        <v>1145</v>
      </c>
      <c r="D244" s="42" t="s">
        <v>32</v>
      </c>
      <c r="E244" s="27" t="s">
        <v>23</v>
      </c>
      <c r="F244" s="89">
        <f>7.4*5.1</f>
        <v>37.74</v>
      </c>
      <c r="G244" s="29">
        <v>215000</v>
      </c>
      <c r="H244" s="30">
        <v>0.8</v>
      </c>
      <c r="I244" s="31">
        <v>1.1479999999999999</v>
      </c>
      <c r="J244" s="223">
        <f t="shared" si="26"/>
        <v>7452000</v>
      </c>
      <c r="K244" s="32">
        <f t="shared" si="22"/>
        <v>7452000</v>
      </c>
      <c r="L244" s="252"/>
      <c r="M244" s="261">
        <f t="shared" si="25"/>
        <v>0</v>
      </c>
    </row>
    <row r="245" spans="1:13" s="289" customFormat="1" ht="45" x14ac:dyDescent="0.3">
      <c r="A245" s="69"/>
      <c r="B245" s="8"/>
      <c r="C245" s="82" t="s">
        <v>1146</v>
      </c>
      <c r="D245" s="34" t="s">
        <v>55</v>
      </c>
      <c r="E245" s="27" t="s">
        <v>23</v>
      </c>
      <c r="F245" s="89">
        <f>5.1*2.2</f>
        <v>11.22</v>
      </c>
      <c r="G245" s="29">
        <v>905000</v>
      </c>
      <c r="H245" s="52">
        <v>0.8</v>
      </c>
      <c r="I245" s="57">
        <v>1.1479999999999999</v>
      </c>
      <c r="J245" s="223">
        <f t="shared" si="26"/>
        <v>9326000</v>
      </c>
      <c r="K245" s="32">
        <f t="shared" si="22"/>
        <v>9326000</v>
      </c>
      <c r="L245" s="252"/>
      <c r="M245" s="261">
        <f t="shared" si="25"/>
        <v>0</v>
      </c>
    </row>
    <row r="246" spans="1:13" s="289" customFormat="1" ht="45" x14ac:dyDescent="0.3">
      <c r="A246" s="69"/>
      <c r="B246" s="8"/>
      <c r="C246" s="82" t="s">
        <v>1147</v>
      </c>
      <c r="D246" s="42" t="s">
        <v>54</v>
      </c>
      <c r="E246" s="27" t="s">
        <v>23</v>
      </c>
      <c r="F246" s="89">
        <f>1.7*1.7+0.75*2.5+1.4*3.2</f>
        <v>9.2449999999999992</v>
      </c>
      <c r="G246" s="46">
        <v>213000</v>
      </c>
      <c r="H246" s="52">
        <v>0.8</v>
      </c>
      <c r="I246" s="57">
        <v>1.1479999999999999</v>
      </c>
      <c r="J246" s="223">
        <f t="shared" si="26"/>
        <v>1808000</v>
      </c>
      <c r="K246" s="32">
        <f t="shared" si="22"/>
        <v>1808000</v>
      </c>
      <c r="L246" s="252"/>
      <c r="M246" s="261">
        <f t="shared" si="25"/>
        <v>0</v>
      </c>
    </row>
    <row r="247" spans="1:13" s="289" customFormat="1" ht="45" x14ac:dyDescent="0.3">
      <c r="A247" s="69"/>
      <c r="B247" s="8"/>
      <c r="C247" s="82" t="s">
        <v>1148</v>
      </c>
      <c r="D247" s="34" t="s">
        <v>29</v>
      </c>
      <c r="E247" s="27" t="s">
        <v>23</v>
      </c>
      <c r="F247" s="89">
        <f>0.4*2.5+0.7*1.6</f>
        <v>2.12</v>
      </c>
      <c r="G247" s="29">
        <v>792000</v>
      </c>
      <c r="H247" s="45">
        <v>0.8</v>
      </c>
      <c r="I247" s="31">
        <v>1.1479999999999999</v>
      </c>
      <c r="J247" s="223">
        <f t="shared" si="26"/>
        <v>1542000</v>
      </c>
      <c r="K247" s="32">
        <f t="shared" si="22"/>
        <v>1542000</v>
      </c>
      <c r="L247" s="252"/>
      <c r="M247" s="261">
        <f t="shared" si="25"/>
        <v>0</v>
      </c>
    </row>
    <row r="248" spans="1:13" s="289" customFormat="1" ht="45" x14ac:dyDescent="0.3">
      <c r="A248" s="69"/>
      <c r="B248" s="8"/>
      <c r="C248" s="82" t="s">
        <v>1149</v>
      </c>
      <c r="D248" s="26" t="s">
        <v>24</v>
      </c>
      <c r="E248" s="8" t="s">
        <v>25</v>
      </c>
      <c r="F248" s="89">
        <f>5.1*0.9*0.1</f>
        <v>0.45900000000000002</v>
      </c>
      <c r="G248" s="29">
        <v>2828000</v>
      </c>
      <c r="H248" s="30">
        <v>0.8</v>
      </c>
      <c r="I248" s="57">
        <v>1.1479999999999999</v>
      </c>
      <c r="J248" s="223">
        <f t="shared" si="26"/>
        <v>1192000</v>
      </c>
      <c r="K248" s="32">
        <f t="shared" si="22"/>
        <v>1192000</v>
      </c>
      <c r="L248" s="252"/>
      <c r="M248" s="261">
        <f t="shared" si="25"/>
        <v>0</v>
      </c>
    </row>
    <row r="249" spans="1:13" s="289" customFormat="1" ht="45" x14ac:dyDescent="0.3">
      <c r="A249" s="69"/>
      <c r="B249" s="8"/>
      <c r="C249" s="82" t="s">
        <v>1150</v>
      </c>
      <c r="D249" s="34" t="s">
        <v>80</v>
      </c>
      <c r="E249" s="71" t="s">
        <v>23</v>
      </c>
      <c r="F249" s="89">
        <f>4.9*0.5</f>
        <v>2.4500000000000002</v>
      </c>
      <c r="G249" s="29">
        <v>385000</v>
      </c>
      <c r="H249" s="37">
        <v>0.8</v>
      </c>
      <c r="I249" s="31">
        <v>1.1479999999999999</v>
      </c>
      <c r="J249" s="223">
        <f t="shared" si="26"/>
        <v>866000</v>
      </c>
      <c r="K249" s="32">
        <f t="shared" si="22"/>
        <v>866000</v>
      </c>
      <c r="L249" s="252"/>
      <c r="M249" s="261">
        <f t="shared" si="25"/>
        <v>0</v>
      </c>
    </row>
    <row r="250" spans="1:13" ht="75" customHeight="1" x14ac:dyDescent="0.3">
      <c r="A250" s="108">
        <v>12</v>
      </c>
      <c r="B250" s="109" t="s">
        <v>242</v>
      </c>
      <c r="C250" s="433" t="s">
        <v>804</v>
      </c>
      <c r="D250" s="434"/>
      <c r="E250" s="434"/>
      <c r="F250" s="434"/>
      <c r="G250" s="434"/>
      <c r="H250" s="434"/>
      <c r="I250" s="435"/>
      <c r="J250" s="221">
        <f>SUM(J251:J259)</f>
        <v>69141000</v>
      </c>
      <c r="K250" s="32">
        <f t="shared" si="22"/>
        <v>0</v>
      </c>
    </row>
    <row r="251" spans="1:13" ht="75" customHeight="1" x14ac:dyDescent="0.3">
      <c r="A251" s="67"/>
      <c r="B251" s="68"/>
      <c r="C251" s="20" t="s">
        <v>805</v>
      </c>
      <c r="D251" s="26"/>
      <c r="E251" s="27" t="s">
        <v>23</v>
      </c>
      <c r="F251" s="33">
        <v>2.8</v>
      </c>
      <c r="G251" s="464" t="s">
        <v>1039</v>
      </c>
      <c r="H251" s="464"/>
      <c r="I251" s="465"/>
      <c r="J251" s="227"/>
      <c r="K251" s="32"/>
    </row>
    <row r="252" spans="1:13" ht="75" customHeight="1" x14ac:dyDescent="0.3">
      <c r="A252" s="69"/>
      <c r="B252" s="8"/>
      <c r="C252" s="82" t="s">
        <v>806</v>
      </c>
      <c r="D252" s="81" t="s">
        <v>63</v>
      </c>
      <c r="E252" s="27" t="s">
        <v>23</v>
      </c>
      <c r="F252" s="89">
        <f>5.1*2</f>
        <v>10.199999999999999</v>
      </c>
      <c r="G252" s="49">
        <v>2975000</v>
      </c>
      <c r="H252" s="37">
        <v>1</v>
      </c>
      <c r="I252" s="31">
        <v>1.1479999999999999</v>
      </c>
      <c r="J252" s="223">
        <f>ROUND(F252*G252*H252*I252,-3)</f>
        <v>34836000</v>
      </c>
      <c r="K252" s="32">
        <f t="shared" si="22"/>
        <v>34836000</v>
      </c>
    </row>
    <row r="253" spans="1:13" ht="45" x14ac:dyDescent="0.3">
      <c r="A253" s="69"/>
      <c r="B253" s="8"/>
      <c r="C253" s="82" t="s">
        <v>807</v>
      </c>
      <c r="D253" s="34" t="s">
        <v>68</v>
      </c>
      <c r="E253" s="71" t="s">
        <v>23</v>
      </c>
      <c r="F253" s="89">
        <f>4.9*2</f>
        <v>9.8000000000000007</v>
      </c>
      <c r="G253" s="46">
        <v>213000</v>
      </c>
      <c r="H253" s="37">
        <v>1</v>
      </c>
      <c r="I253" s="31">
        <v>1.1479999999999999</v>
      </c>
      <c r="J253" s="223">
        <f t="shared" ref="J253:J259" si="27">ROUND(F253*G253*H253*I253,-3)</f>
        <v>2396000</v>
      </c>
      <c r="K253" s="32">
        <f t="shared" si="22"/>
        <v>2396000</v>
      </c>
    </row>
    <row r="254" spans="1:13" ht="45" x14ac:dyDescent="0.3">
      <c r="A254" s="69"/>
      <c r="B254" s="8"/>
      <c r="C254" s="82" t="s">
        <v>808</v>
      </c>
      <c r="D254" s="26" t="s">
        <v>56</v>
      </c>
      <c r="E254" s="27" t="s">
        <v>23</v>
      </c>
      <c r="F254" s="89">
        <f>4.9*3</f>
        <v>14.700000000000001</v>
      </c>
      <c r="G254" s="29">
        <v>735000</v>
      </c>
      <c r="H254" s="37">
        <v>1</v>
      </c>
      <c r="I254" s="31">
        <v>1.1479999999999999</v>
      </c>
      <c r="J254" s="223">
        <f t="shared" si="27"/>
        <v>12404000</v>
      </c>
      <c r="K254" s="32">
        <f t="shared" si="22"/>
        <v>12404000</v>
      </c>
    </row>
    <row r="255" spans="1:13" ht="45" x14ac:dyDescent="0.3">
      <c r="A255" s="69"/>
      <c r="B255" s="8"/>
      <c r="C255" s="82" t="s">
        <v>809</v>
      </c>
      <c r="D255" s="42" t="s">
        <v>32</v>
      </c>
      <c r="E255" s="27" t="s">
        <v>23</v>
      </c>
      <c r="F255" s="89">
        <f>5.1*7.5</f>
        <v>38.25</v>
      </c>
      <c r="G255" s="29">
        <v>215000</v>
      </c>
      <c r="H255" s="30">
        <v>1</v>
      </c>
      <c r="I255" s="31">
        <v>1.1479999999999999</v>
      </c>
      <c r="J255" s="223">
        <f t="shared" si="27"/>
        <v>9441000</v>
      </c>
      <c r="K255" s="32">
        <f t="shared" si="22"/>
        <v>9441000</v>
      </c>
    </row>
    <row r="256" spans="1:13" ht="45" x14ac:dyDescent="0.3">
      <c r="A256" s="69"/>
      <c r="B256" s="8"/>
      <c r="C256" s="82" t="s">
        <v>810</v>
      </c>
      <c r="D256" s="42" t="s">
        <v>54</v>
      </c>
      <c r="E256" s="27" t="s">
        <v>23</v>
      </c>
      <c r="F256" s="89">
        <f>5.1*2</f>
        <v>10.199999999999999</v>
      </c>
      <c r="G256" s="46">
        <v>213000</v>
      </c>
      <c r="H256" s="52">
        <v>1</v>
      </c>
      <c r="I256" s="57">
        <v>1.1479999999999999</v>
      </c>
      <c r="J256" s="223">
        <f t="shared" si="27"/>
        <v>2494000</v>
      </c>
      <c r="K256" s="32">
        <f t="shared" si="22"/>
        <v>2494000</v>
      </c>
    </row>
    <row r="257" spans="1:12" ht="45" x14ac:dyDescent="0.3">
      <c r="A257" s="69"/>
      <c r="B257" s="8"/>
      <c r="C257" s="82" t="s">
        <v>921</v>
      </c>
      <c r="D257" s="34" t="s">
        <v>51</v>
      </c>
      <c r="E257" s="27" t="s">
        <v>23</v>
      </c>
      <c r="F257" s="89">
        <f>5.1*2.2</f>
        <v>11.22</v>
      </c>
      <c r="G257" s="29">
        <v>453000</v>
      </c>
      <c r="H257" s="37">
        <v>1</v>
      </c>
      <c r="I257" s="31">
        <v>1.1479999999999999</v>
      </c>
      <c r="J257" s="223">
        <f t="shared" si="27"/>
        <v>5835000</v>
      </c>
      <c r="K257" s="32">
        <f t="shared" si="22"/>
        <v>5835000</v>
      </c>
    </row>
    <row r="258" spans="1:12" ht="45" x14ac:dyDescent="0.3">
      <c r="A258" s="69"/>
      <c r="B258" s="8"/>
      <c r="C258" s="82" t="s">
        <v>811</v>
      </c>
      <c r="D258" s="26" t="s">
        <v>89</v>
      </c>
      <c r="E258" s="71" t="s">
        <v>23</v>
      </c>
      <c r="F258" s="89">
        <f>5.1*1.2</f>
        <v>6.1199999999999992</v>
      </c>
      <c r="G258" s="29">
        <v>11000</v>
      </c>
      <c r="H258" s="37">
        <v>1</v>
      </c>
      <c r="I258" s="31">
        <v>1.1479999999999999</v>
      </c>
      <c r="J258" s="223">
        <f t="shared" si="27"/>
        <v>77000</v>
      </c>
      <c r="K258" s="32">
        <f t="shared" si="22"/>
        <v>77000</v>
      </c>
    </row>
    <row r="259" spans="1:12" ht="45" x14ac:dyDescent="0.3">
      <c r="A259" s="69"/>
      <c r="B259" s="8"/>
      <c r="C259" s="82" t="s">
        <v>812</v>
      </c>
      <c r="D259" s="34" t="s">
        <v>52</v>
      </c>
      <c r="E259" s="27" t="s">
        <v>23</v>
      </c>
      <c r="F259" s="89">
        <f>5.1*1.2</f>
        <v>6.1199999999999992</v>
      </c>
      <c r="G259" s="11" t="s">
        <v>53</v>
      </c>
      <c r="H259" s="37">
        <v>1</v>
      </c>
      <c r="I259" s="78">
        <v>1.1479999999999999</v>
      </c>
      <c r="J259" s="223">
        <f t="shared" si="27"/>
        <v>1658000</v>
      </c>
      <c r="K259" s="32">
        <f t="shared" si="22"/>
        <v>1658000</v>
      </c>
    </row>
    <row r="260" spans="1:12" ht="75" customHeight="1" x14ac:dyDescent="0.3">
      <c r="A260" s="108">
        <v>13</v>
      </c>
      <c r="B260" s="109" t="s">
        <v>813</v>
      </c>
      <c r="C260" s="433" t="s">
        <v>814</v>
      </c>
      <c r="D260" s="434"/>
      <c r="E260" s="434"/>
      <c r="F260" s="434"/>
      <c r="G260" s="434"/>
      <c r="H260" s="434"/>
      <c r="I260" s="435"/>
      <c r="J260" s="221">
        <f>SUM(J261:J272)</f>
        <v>346052000</v>
      </c>
      <c r="K260" s="32">
        <f t="shared" si="22"/>
        <v>0</v>
      </c>
    </row>
    <row r="261" spans="1:12" s="289" customFormat="1" ht="75" customHeight="1" x14ac:dyDescent="0.3">
      <c r="A261" s="18"/>
      <c r="B261" s="19"/>
      <c r="C261" s="20" t="s">
        <v>1136</v>
      </c>
      <c r="D261" s="297"/>
      <c r="E261" s="27" t="s">
        <v>23</v>
      </c>
      <c r="F261" s="33" t="s">
        <v>1137</v>
      </c>
      <c r="G261" s="296">
        <v>33000</v>
      </c>
      <c r="H261" s="299" t="s">
        <v>1138</v>
      </c>
      <c r="I261" s="298">
        <v>1</v>
      </c>
      <c r="J261" s="223">
        <f>ROUND(F261*G261*H261*I261,-3)</f>
        <v>53460000</v>
      </c>
      <c r="K261" s="32">
        <f t="shared" si="22"/>
        <v>53460000</v>
      </c>
      <c r="L261" s="252"/>
    </row>
    <row r="262" spans="1:12" s="289" customFormat="1" ht="120.75" customHeight="1" x14ac:dyDescent="0.3">
      <c r="A262" s="211"/>
      <c r="B262" s="17"/>
      <c r="C262" s="20" t="s">
        <v>1135</v>
      </c>
      <c r="D262" s="26"/>
      <c r="E262" s="27" t="s">
        <v>23</v>
      </c>
      <c r="F262" s="33">
        <v>16.2</v>
      </c>
      <c r="G262" s="296">
        <v>26450000</v>
      </c>
      <c r="H262" s="299">
        <v>0.5</v>
      </c>
      <c r="I262" s="298">
        <v>1</v>
      </c>
      <c r="J262" s="223">
        <f>ROUND(F262*G262*H262*I262,-3)</f>
        <v>214245000</v>
      </c>
      <c r="K262" s="32">
        <f t="shared" si="22"/>
        <v>214245000</v>
      </c>
      <c r="L262" s="252"/>
    </row>
    <row r="263" spans="1:12" s="289" customFormat="1" ht="75" customHeight="1" x14ac:dyDescent="0.3">
      <c r="A263" s="211"/>
      <c r="B263" s="17"/>
      <c r="C263" s="20" t="s">
        <v>1130</v>
      </c>
      <c r="D263" s="26"/>
      <c r="E263" s="27" t="s">
        <v>23</v>
      </c>
      <c r="F263" s="33">
        <v>1.3</v>
      </c>
      <c r="G263" s="493" t="s">
        <v>1134</v>
      </c>
      <c r="H263" s="494"/>
      <c r="I263" s="494"/>
      <c r="J263" s="227" t="s">
        <v>1131</v>
      </c>
      <c r="K263" s="32"/>
      <c r="L263" s="252"/>
    </row>
    <row r="264" spans="1:12" ht="45" x14ac:dyDescent="0.3">
      <c r="A264" s="69"/>
      <c r="B264" s="8"/>
      <c r="C264" s="82" t="s">
        <v>922</v>
      </c>
      <c r="D264" s="9" t="s">
        <v>88</v>
      </c>
      <c r="E264" s="8" t="s">
        <v>25</v>
      </c>
      <c r="F264" s="89">
        <f>(0.5*0.5*2.7)*2</f>
        <v>1.35</v>
      </c>
      <c r="G264" s="11">
        <v>2828000</v>
      </c>
      <c r="H264" s="37">
        <v>1</v>
      </c>
      <c r="I264" s="31">
        <v>1.1479999999999999</v>
      </c>
      <c r="J264" s="223">
        <f t="shared" ref="J264:J272" si="28">ROUND(F264*G264*H264*I264,-3)</f>
        <v>4383000</v>
      </c>
      <c r="K264" s="32">
        <f t="shared" si="22"/>
        <v>4383000</v>
      </c>
    </row>
    <row r="265" spans="1:12" ht="45" x14ac:dyDescent="0.3">
      <c r="A265" s="69"/>
      <c r="B265" s="8"/>
      <c r="C265" s="82" t="s">
        <v>815</v>
      </c>
      <c r="D265" s="26" t="s">
        <v>26</v>
      </c>
      <c r="E265" s="71" t="s">
        <v>23</v>
      </c>
      <c r="F265" s="89">
        <f>3.7*2</f>
        <v>7.4</v>
      </c>
      <c r="G265" s="29">
        <v>679000</v>
      </c>
      <c r="H265" s="37">
        <v>1</v>
      </c>
      <c r="I265" s="31">
        <v>1.1479999999999999</v>
      </c>
      <c r="J265" s="223">
        <f t="shared" si="28"/>
        <v>5768000</v>
      </c>
      <c r="K265" s="32">
        <f t="shared" si="22"/>
        <v>5768000</v>
      </c>
    </row>
    <row r="266" spans="1:12" ht="45" x14ac:dyDescent="0.3">
      <c r="A266" s="69"/>
      <c r="B266" s="8"/>
      <c r="C266" s="82" t="s">
        <v>923</v>
      </c>
      <c r="D266" s="34" t="s">
        <v>29</v>
      </c>
      <c r="E266" s="27" t="s">
        <v>23</v>
      </c>
      <c r="F266" s="89">
        <f>11*1.2</f>
        <v>13.2</v>
      </c>
      <c r="G266" s="29">
        <v>792000</v>
      </c>
      <c r="H266" s="37">
        <v>1</v>
      </c>
      <c r="I266" s="31">
        <v>1.1479999999999999</v>
      </c>
      <c r="J266" s="223">
        <f t="shared" si="28"/>
        <v>12002000</v>
      </c>
      <c r="K266" s="32">
        <f t="shared" ref="K266:K329" si="29">ROUND(G266*H266*I266*F266,-3)</f>
        <v>12002000</v>
      </c>
    </row>
    <row r="267" spans="1:12" ht="45" x14ac:dyDescent="0.3">
      <c r="A267" s="69"/>
      <c r="B267" s="8"/>
      <c r="C267" s="82" t="s">
        <v>816</v>
      </c>
      <c r="D267" s="26" t="s">
        <v>24</v>
      </c>
      <c r="E267" s="27" t="s">
        <v>25</v>
      </c>
      <c r="F267" s="89">
        <f>(0.3*0.3*2.7)*3</f>
        <v>0.72899999999999998</v>
      </c>
      <c r="G267" s="29">
        <v>2828000</v>
      </c>
      <c r="H267" s="30">
        <v>1</v>
      </c>
      <c r="I267" s="31">
        <v>1.1479999999999999</v>
      </c>
      <c r="J267" s="223">
        <f t="shared" si="28"/>
        <v>2367000</v>
      </c>
      <c r="K267" s="32">
        <f t="shared" si="29"/>
        <v>2367000</v>
      </c>
    </row>
    <row r="268" spans="1:12" ht="45" x14ac:dyDescent="0.3">
      <c r="A268" s="69"/>
      <c r="B268" s="8"/>
      <c r="C268" s="82" t="s">
        <v>924</v>
      </c>
      <c r="D268" s="34" t="s">
        <v>31</v>
      </c>
      <c r="E268" s="27" t="s">
        <v>23</v>
      </c>
      <c r="F268" s="89">
        <f>14.1*0.9</f>
        <v>12.69</v>
      </c>
      <c r="G268" s="29">
        <v>339000</v>
      </c>
      <c r="H268" s="37">
        <v>1</v>
      </c>
      <c r="I268" s="31">
        <v>1.1479999999999999</v>
      </c>
      <c r="J268" s="223">
        <f t="shared" si="28"/>
        <v>4939000</v>
      </c>
      <c r="K268" s="32">
        <f t="shared" si="29"/>
        <v>4939000</v>
      </c>
    </row>
    <row r="269" spans="1:12" ht="45" x14ac:dyDescent="0.3">
      <c r="A269" s="69"/>
      <c r="B269" s="8"/>
      <c r="C269" s="82" t="s">
        <v>817</v>
      </c>
      <c r="D269" s="42" t="s">
        <v>32</v>
      </c>
      <c r="E269" s="27" t="s">
        <v>23</v>
      </c>
      <c r="F269" s="89">
        <f>9.8*20</f>
        <v>196</v>
      </c>
      <c r="G269" s="29">
        <v>215000</v>
      </c>
      <c r="H269" s="30">
        <v>1</v>
      </c>
      <c r="I269" s="31">
        <v>1.1479999999999999</v>
      </c>
      <c r="J269" s="223">
        <f t="shared" si="28"/>
        <v>48377000</v>
      </c>
      <c r="K269" s="32">
        <f t="shared" si="29"/>
        <v>48377000</v>
      </c>
    </row>
    <row r="270" spans="1:12" ht="30" x14ac:dyDescent="0.3">
      <c r="A270" s="69"/>
      <c r="B270" s="8"/>
      <c r="C270" s="82" t="s">
        <v>49</v>
      </c>
      <c r="D270" s="26" t="s">
        <v>36</v>
      </c>
      <c r="E270" s="27" t="s">
        <v>35</v>
      </c>
      <c r="F270" s="76">
        <v>2</v>
      </c>
      <c r="G270" s="49">
        <v>213020</v>
      </c>
      <c r="H270" s="52">
        <v>1</v>
      </c>
      <c r="I270" s="53">
        <v>1</v>
      </c>
      <c r="J270" s="223">
        <f t="shared" si="28"/>
        <v>426000</v>
      </c>
      <c r="K270" s="32">
        <f t="shared" si="29"/>
        <v>426000</v>
      </c>
    </row>
    <row r="271" spans="1:12" ht="45" x14ac:dyDescent="0.3">
      <c r="A271" s="69"/>
      <c r="B271" s="8"/>
      <c r="C271" s="82" t="s">
        <v>818</v>
      </c>
      <c r="D271" s="58" t="s">
        <v>41</v>
      </c>
      <c r="E271" s="59" t="s">
        <v>42</v>
      </c>
      <c r="F271" s="89">
        <v>1</v>
      </c>
      <c r="G271" s="11">
        <v>31950</v>
      </c>
      <c r="H271" s="60">
        <v>1</v>
      </c>
      <c r="I271" s="61">
        <v>1</v>
      </c>
      <c r="J271" s="223">
        <f t="shared" si="28"/>
        <v>32000</v>
      </c>
      <c r="K271" s="32">
        <f t="shared" si="29"/>
        <v>32000</v>
      </c>
    </row>
    <row r="272" spans="1:12" ht="45" x14ac:dyDescent="0.3">
      <c r="A272" s="69"/>
      <c r="B272" s="8"/>
      <c r="C272" s="82" t="s">
        <v>208</v>
      </c>
      <c r="D272" s="58" t="s">
        <v>41</v>
      </c>
      <c r="E272" s="59" t="s">
        <v>42</v>
      </c>
      <c r="F272" s="89">
        <v>5</v>
      </c>
      <c r="G272" s="11">
        <v>10650</v>
      </c>
      <c r="H272" s="60">
        <v>1</v>
      </c>
      <c r="I272" s="61">
        <v>1</v>
      </c>
      <c r="J272" s="223">
        <f t="shared" si="28"/>
        <v>53000</v>
      </c>
      <c r="K272" s="32">
        <f t="shared" si="29"/>
        <v>53000</v>
      </c>
    </row>
    <row r="273" spans="1:13" s="169" customFormat="1" ht="58.5" customHeight="1" x14ac:dyDescent="0.3">
      <c r="A273" s="108">
        <v>14</v>
      </c>
      <c r="B273" s="109" t="s">
        <v>949</v>
      </c>
      <c r="C273" s="455" t="s">
        <v>1180</v>
      </c>
      <c r="D273" s="456"/>
      <c r="E273" s="456"/>
      <c r="F273" s="456"/>
      <c r="G273" s="456"/>
      <c r="H273" s="456"/>
      <c r="I273" s="457"/>
      <c r="J273" s="221">
        <f>SUM(J274:J289)</f>
        <v>691002000</v>
      </c>
      <c r="K273" s="32">
        <f t="shared" si="29"/>
        <v>0</v>
      </c>
      <c r="L273" s="253"/>
      <c r="M273" s="261">
        <f t="shared" ref="M273:M336" si="30">J273-K273</f>
        <v>691002000</v>
      </c>
    </row>
    <row r="274" spans="1:13" s="289" customFormat="1" ht="92.25" customHeight="1" x14ac:dyDescent="0.25">
      <c r="A274" s="67"/>
      <c r="B274" s="68"/>
      <c r="C274" s="20" t="s">
        <v>1129</v>
      </c>
      <c r="D274" s="26"/>
      <c r="E274" s="27" t="s">
        <v>23</v>
      </c>
      <c r="F274" s="33">
        <v>29.6</v>
      </c>
      <c r="G274" s="324">
        <v>13800000</v>
      </c>
      <c r="H274" s="325">
        <v>0.495</v>
      </c>
      <c r="I274" s="326">
        <v>1.2</v>
      </c>
      <c r="J274" s="223">
        <f t="shared" ref="J274:J289" si="31">ROUND(F274*G274*H274*I274,-3)</f>
        <v>242637000</v>
      </c>
      <c r="K274" s="32"/>
      <c r="L274" s="254">
        <v>36.5</v>
      </c>
      <c r="M274" s="261">
        <f t="shared" si="30"/>
        <v>242637000</v>
      </c>
    </row>
    <row r="275" spans="1:13" s="289" customFormat="1" ht="118.5" customHeight="1" x14ac:dyDescent="0.3">
      <c r="A275" s="69"/>
      <c r="B275" s="8"/>
      <c r="C275" s="82" t="s">
        <v>1181</v>
      </c>
      <c r="D275" s="81" t="s">
        <v>136</v>
      </c>
      <c r="E275" s="27" t="s">
        <v>23</v>
      </c>
      <c r="F275" s="89">
        <f>7.75*4.7+4.55*4.7</f>
        <v>57.81</v>
      </c>
      <c r="G275" s="11">
        <v>5046000</v>
      </c>
      <c r="H275" s="37">
        <v>1</v>
      </c>
      <c r="I275" s="31">
        <v>1.1479999999999999</v>
      </c>
      <c r="J275" s="223">
        <f t="shared" si="31"/>
        <v>334882000</v>
      </c>
      <c r="K275" s="32">
        <f t="shared" si="29"/>
        <v>334882000</v>
      </c>
      <c r="L275" s="252"/>
      <c r="M275" s="261">
        <f t="shared" si="30"/>
        <v>0</v>
      </c>
    </row>
    <row r="276" spans="1:13" s="289" customFormat="1" ht="78" customHeight="1" x14ac:dyDescent="0.3">
      <c r="A276" s="69"/>
      <c r="B276" s="8"/>
      <c r="C276" s="82" t="s">
        <v>1182</v>
      </c>
      <c r="D276" s="81" t="s">
        <v>63</v>
      </c>
      <c r="E276" s="27" t="s">
        <v>23</v>
      </c>
      <c r="F276" s="89">
        <f>2.1*4.7</f>
        <v>9.870000000000001</v>
      </c>
      <c r="G276" s="49">
        <v>2975000</v>
      </c>
      <c r="H276" s="37">
        <v>1</v>
      </c>
      <c r="I276" s="31">
        <v>1.1479999999999999</v>
      </c>
      <c r="J276" s="223">
        <f t="shared" si="31"/>
        <v>33709000</v>
      </c>
      <c r="K276" s="32">
        <f t="shared" si="29"/>
        <v>33709000</v>
      </c>
      <c r="L276" s="252"/>
      <c r="M276" s="261">
        <f t="shared" si="30"/>
        <v>0</v>
      </c>
    </row>
    <row r="277" spans="1:13" s="289" customFormat="1" ht="75" customHeight="1" x14ac:dyDescent="0.3">
      <c r="A277" s="69"/>
      <c r="B277" s="8"/>
      <c r="C277" s="82" t="s">
        <v>1183</v>
      </c>
      <c r="D277" s="34" t="s">
        <v>442</v>
      </c>
      <c r="E277" s="27" t="s">
        <v>23</v>
      </c>
      <c r="F277" s="89">
        <f>4.35*4.5+2*4.5</f>
        <v>28.574999999999999</v>
      </c>
      <c r="G277" s="29">
        <v>527000</v>
      </c>
      <c r="H277" s="50">
        <v>1</v>
      </c>
      <c r="I277" s="31">
        <v>1.1479999999999999</v>
      </c>
      <c r="J277" s="223">
        <f t="shared" si="31"/>
        <v>17288000</v>
      </c>
      <c r="K277" s="32">
        <f t="shared" si="29"/>
        <v>17288000</v>
      </c>
      <c r="L277" s="252"/>
      <c r="M277" s="261">
        <f t="shared" si="30"/>
        <v>0</v>
      </c>
    </row>
    <row r="278" spans="1:13" s="289" customFormat="1" ht="75" customHeight="1" x14ac:dyDescent="0.3">
      <c r="A278" s="69"/>
      <c r="B278" s="8"/>
      <c r="C278" s="82" t="s">
        <v>1184</v>
      </c>
      <c r="D278" s="34" t="s">
        <v>66</v>
      </c>
      <c r="E278" s="27" t="s">
        <v>23</v>
      </c>
      <c r="F278" s="89">
        <f>10.7*2.6+2.9*2.8+14*0.15</f>
        <v>38.04</v>
      </c>
      <c r="G278" s="29">
        <v>339000</v>
      </c>
      <c r="H278" s="38">
        <v>1</v>
      </c>
      <c r="I278" s="31">
        <v>1.1479999999999999</v>
      </c>
      <c r="J278" s="223">
        <f t="shared" si="31"/>
        <v>14804000</v>
      </c>
      <c r="K278" s="32">
        <f t="shared" si="29"/>
        <v>14804000</v>
      </c>
      <c r="L278" s="252"/>
      <c r="M278" s="261">
        <f t="shared" si="30"/>
        <v>0</v>
      </c>
    </row>
    <row r="279" spans="1:13" s="289" customFormat="1" ht="75" customHeight="1" x14ac:dyDescent="0.3">
      <c r="A279" s="69"/>
      <c r="B279" s="8"/>
      <c r="C279" s="82" t="s">
        <v>1185</v>
      </c>
      <c r="D279" s="34" t="s">
        <v>51</v>
      </c>
      <c r="E279" s="27" t="s">
        <v>23</v>
      </c>
      <c r="F279" s="89">
        <f>4.1*4.7+4.7*2.1</f>
        <v>29.14</v>
      </c>
      <c r="G279" s="29">
        <v>453000</v>
      </c>
      <c r="H279" s="37">
        <v>1</v>
      </c>
      <c r="I279" s="31">
        <v>1.1479999999999999</v>
      </c>
      <c r="J279" s="223">
        <f t="shared" si="31"/>
        <v>15154000</v>
      </c>
      <c r="K279" s="32">
        <f t="shared" si="29"/>
        <v>15154000</v>
      </c>
      <c r="L279" s="252"/>
      <c r="M279" s="261">
        <f t="shared" si="30"/>
        <v>0</v>
      </c>
    </row>
    <row r="280" spans="1:13" s="289" customFormat="1" ht="75" customHeight="1" x14ac:dyDescent="0.3">
      <c r="A280" s="69"/>
      <c r="B280" s="8"/>
      <c r="C280" s="82" t="s">
        <v>1186</v>
      </c>
      <c r="D280" s="34" t="s">
        <v>66</v>
      </c>
      <c r="E280" s="27" t="s">
        <v>23</v>
      </c>
      <c r="F280" s="89">
        <f>(1.6*0.6)*6+5.1*1.8+4.9*1.8</f>
        <v>23.759999999999998</v>
      </c>
      <c r="G280" s="29">
        <v>339000</v>
      </c>
      <c r="H280" s="37">
        <v>1</v>
      </c>
      <c r="I280" s="31">
        <v>1.1479999999999999</v>
      </c>
      <c r="J280" s="223">
        <f t="shared" si="31"/>
        <v>9247000</v>
      </c>
      <c r="K280" s="32">
        <f t="shared" si="29"/>
        <v>9247000</v>
      </c>
      <c r="L280" s="252"/>
      <c r="M280" s="261">
        <f t="shared" si="30"/>
        <v>0</v>
      </c>
    </row>
    <row r="281" spans="1:13" s="289" customFormat="1" ht="75" customHeight="1" x14ac:dyDescent="0.3">
      <c r="A281" s="69"/>
      <c r="B281" s="8"/>
      <c r="C281" s="82" t="s">
        <v>1187</v>
      </c>
      <c r="D281" s="44" t="s">
        <v>33</v>
      </c>
      <c r="E281" s="27" t="s">
        <v>23</v>
      </c>
      <c r="F281" s="89">
        <f>6.7*0.7+12.1*0.75</f>
        <v>13.764999999999999</v>
      </c>
      <c r="G281" s="29">
        <v>453000</v>
      </c>
      <c r="H281" s="45">
        <v>1</v>
      </c>
      <c r="I281" s="31">
        <v>1.1479999999999999</v>
      </c>
      <c r="J281" s="223">
        <f t="shared" si="31"/>
        <v>7158000</v>
      </c>
      <c r="K281" s="32">
        <f t="shared" si="29"/>
        <v>7158000</v>
      </c>
      <c r="L281" s="252"/>
      <c r="M281" s="261">
        <f t="shared" si="30"/>
        <v>0</v>
      </c>
    </row>
    <row r="282" spans="1:13" s="289" customFormat="1" ht="75" customHeight="1" x14ac:dyDescent="0.3">
      <c r="A282" s="69"/>
      <c r="B282" s="8"/>
      <c r="C282" s="82" t="s">
        <v>1188</v>
      </c>
      <c r="D282" s="26" t="s">
        <v>24</v>
      </c>
      <c r="E282" s="8" t="s">
        <v>25</v>
      </c>
      <c r="F282" s="89">
        <f>4.7*0.9*0.1</f>
        <v>0.42300000000000004</v>
      </c>
      <c r="G282" s="29">
        <v>2828000</v>
      </c>
      <c r="H282" s="30">
        <v>1</v>
      </c>
      <c r="I282" s="57">
        <v>1.1479999999999999</v>
      </c>
      <c r="J282" s="223">
        <f t="shared" si="31"/>
        <v>1373000</v>
      </c>
      <c r="K282" s="32">
        <f t="shared" si="29"/>
        <v>1373000</v>
      </c>
      <c r="L282" s="252"/>
      <c r="M282" s="261">
        <f t="shared" si="30"/>
        <v>0</v>
      </c>
    </row>
    <row r="283" spans="1:13" s="289" customFormat="1" ht="75" customHeight="1" x14ac:dyDescent="0.3">
      <c r="A283" s="69"/>
      <c r="B283" s="8"/>
      <c r="C283" s="82" t="s">
        <v>1189</v>
      </c>
      <c r="D283" s="185" t="s">
        <v>33</v>
      </c>
      <c r="E283" s="165" t="s">
        <v>23</v>
      </c>
      <c r="F283" s="89">
        <f>12.1*0.6</f>
        <v>7.26</v>
      </c>
      <c r="G283" s="100">
        <v>453000</v>
      </c>
      <c r="H283" s="43">
        <v>1</v>
      </c>
      <c r="I283" s="102">
        <v>1.1479999999999999</v>
      </c>
      <c r="J283" s="222">
        <f t="shared" si="31"/>
        <v>3776000</v>
      </c>
      <c r="K283" s="32">
        <f t="shared" si="29"/>
        <v>3776000</v>
      </c>
      <c r="L283" s="252"/>
      <c r="M283" s="261">
        <f t="shared" si="30"/>
        <v>0</v>
      </c>
    </row>
    <row r="284" spans="1:13" s="289" customFormat="1" ht="75" customHeight="1" x14ac:dyDescent="0.3">
      <c r="A284" s="69"/>
      <c r="B284" s="8"/>
      <c r="C284" s="82" t="s">
        <v>321</v>
      </c>
      <c r="D284" s="34" t="s">
        <v>38</v>
      </c>
      <c r="E284" s="27" t="s">
        <v>39</v>
      </c>
      <c r="F284" s="76">
        <v>2</v>
      </c>
      <c r="G284" s="55">
        <v>1018000</v>
      </c>
      <c r="H284" s="56">
        <v>1</v>
      </c>
      <c r="I284" s="57">
        <v>1.1479999999999999</v>
      </c>
      <c r="J284" s="226">
        <f t="shared" si="31"/>
        <v>2337000</v>
      </c>
      <c r="K284" s="32">
        <f t="shared" si="29"/>
        <v>2337000</v>
      </c>
      <c r="L284" s="252"/>
      <c r="M284" s="261">
        <f t="shared" si="30"/>
        <v>0</v>
      </c>
    </row>
    <row r="285" spans="1:13" s="289" customFormat="1" ht="75" customHeight="1" x14ac:dyDescent="0.3">
      <c r="A285" s="69"/>
      <c r="B285" s="8"/>
      <c r="C285" s="82" t="s">
        <v>1190</v>
      </c>
      <c r="D285" s="42" t="s">
        <v>32</v>
      </c>
      <c r="E285" s="27" t="s">
        <v>23</v>
      </c>
      <c r="F285" s="89">
        <f>5.4*4.7</f>
        <v>25.380000000000003</v>
      </c>
      <c r="G285" s="29">
        <v>215000</v>
      </c>
      <c r="H285" s="30">
        <v>1</v>
      </c>
      <c r="I285" s="31">
        <v>1.1479999999999999</v>
      </c>
      <c r="J285" s="223">
        <f t="shared" si="31"/>
        <v>6264000</v>
      </c>
      <c r="K285" s="32">
        <f t="shared" si="29"/>
        <v>6264000</v>
      </c>
      <c r="L285" s="252"/>
      <c r="M285" s="261">
        <f t="shared" si="30"/>
        <v>0</v>
      </c>
    </row>
    <row r="286" spans="1:13" s="289" customFormat="1" ht="75" customHeight="1" x14ac:dyDescent="0.3">
      <c r="A286" s="69"/>
      <c r="B286" s="8"/>
      <c r="C286" s="82" t="s">
        <v>1191</v>
      </c>
      <c r="D286" s="34" t="s">
        <v>29</v>
      </c>
      <c r="E286" s="27" t="s">
        <v>23</v>
      </c>
      <c r="F286" s="89">
        <f>(0.8*1.1)*2</f>
        <v>1.7600000000000002</v>
      </c>
      <c r="G286" s="29">
        <v>792000</v>
      </c>
      <c r="H286" s="45">
        <v>1</v>
      </c>
      <c r="I286" s="31">
        <v>1.1479999999999999</v>
      </c>
      <c r="J286" s="223">
        <f t="shared" si="31"/>
        <v>1600000</v>
      </c>
      <c r="K286" s="32">
        <f t="shared" si="29"/>
        <v>1600000</v>
      </c>
      <c r="L286" s="252"/>
      <c r="M286" s="261">
        <f t="shared" si="30"/>
        <v>0</v>
      </c>
    </row>
    <row r="287" spans="1:13" s="289" customFormat="1" ht="75" customHeight="1" x14ac:dyDescent="0.3">
      <c r="A287" s="69"/>
      <c r="B287" s="8"/>
      <c r="C287" s="82" t="s">
        <v>184</v>
      </c>
      <c r="D287" s="42" t="s">
        <v>44</v>
      </c>
      <c r="E287" s="63" t="s">
        <v>45</v>
      </c>
      <c r="F287" s="89">
        <v>8</v>
      </c>
      <c r="G287" s="46">
        <v>28000</v>
      </c>
      <c r="H287" s="56">
        <v>1</v>
      </c>
      <c r="I287" s="57">
        <v>1.1479999999999999</v>
      </c>
      <c r="J287" s="223">
        <f t="shared" si="31"/>
        <v>257000</v>
      </c>
      <c r="K287" s="32">
        <f t="shared" si="29"/>
        <v>257000</v>
      </c>
      <c r="L287" s="252"/>
      <c r="M287" s="261">
        <f t="shared" si="30"/>
        <v>0</v>
      </c>
    </row>
    <row r="288" spans="1:13" s="289" customFormat="1" ht="75" customHeight="1" x14ac:dyDescent="0.3">
      <c r="A288" s="69"/>
      <c r="B288" s="8"/>
      <c r="C288" s="82" t="s">
        <v>185</v>
      </c>
      <c r="D288" s="42" t="s">
        <v>47</v>
      </c>
      <c r="E288" s="63" t="s">
        <v>45</v>
      </c>
      <c r="F288" s="89">
        <v>8</v>
      </c>
      <c r="G288" s="46">
        <v>28000</v>
      </c>
      <c r="H288" s="56">
        <v>1</v>
      </c>
      <c r="I288" s="31">
        <v>1.1479999999999999</v>
      </c>
      <c r="J288" s="223">
        <f t="shared" si="31"/>
        <v>257000</v>
      </c>
      <c r="K288" s="32">
        <f t="shared" si="29"/>
        <v>257000</v>
      </c>
      <c r="L288" s="252"/>
      <c r="M288" s="261">
        <f t="shared" si="30"/>
        <v>0</v>
      </c>
    </row>
    <row r="289" spans="1:13" s="289" customFormat="1" ht="75" customHeight="1" x14ac:dyDescent="0.3">
      <c r="A289" s="69"/>
      <c r="B289" s="8"/>
      <c r="C289" s="82" t="s">
        <v>694</v>
      </c>
      <c r="D289" s="34" t="s">
        <v>97</v>
      </c>
      <c r="E289" s="71" t="s">
        <v>98</v>
      </c>
      <c r="F289" s="76">
        <v>1</v>
      </c>
      <c r="G289" s="36">
        <v>226000</v>
      </c>
      <c r="H289" s="37">
        <v>1</v>
      </c>
      <c r="I289" s="31">
        <v>1.1479999999999999</v>
      </c>
      <c r="J289" s="223">
        <f t="shared" si="31"/>
        <v>259000</v>
      </c>
      <c r="K289" s="32">
        <f t="shared" si="29"/>
        <v>259000</v>
      </c>
      <c r="L289" s="252"/>
      <c r="M289" s="261">
        <f t="shared" si="30"/>
        <v>0</v>
      </c>
    </row>
    <row r="290" spans="1:13" s="169" customFormat="1" ht="75" customHeight="1" x14ac:dyDescent="0.3">
      <c r="A290" s="108">
        <v>15</v>
      </c>
      <c r="B290" s="109" t="s">
        <v>213</v>
      </c>
      <c r="C290" s="455" t="s">
        <v>1192</v>
      </c>
      <c r="D290" s="456"/>
      <c r="E290" s="456"/>
      <c r="F290" s="456"/>
      <c r="G290" s="456"/>
      <c r="H290" s="456"/>
      <c r="I290" s="457"/>
      <c r="J290" s="221">
        <f>SUM(J291:J298)</f>
        <v>883855000</v>
      </c>
      <c r="K290" s="32">
        <f t="shared" si="29"/>
        <v>0</v>
      </c>
      <c r="L290" s="253"/>
      <c r="M290" s="261">
        <f t="shared" si="30"/>
        <v>883855000</v>
      </c>
    </row>
    <row r="291" spans="1:13" s="289" customFormat="1" ht="123" customHeight="1" x14ac:dyDescent="0.25">
      <c r="A291" s="67"/>
      <c r="B291" s="68"/>
      <c r="C291" s="20" t="s">
        <v>1129</v>
      </c>
      <c r="D291" s="26" t="s">
        <v>1199</v>
      </c>
      <c r="E291" s="27" t="s">
        <v>23</v>
      </c>
      <c r="F291" s="33">
        <v>42.3</v>
      </c>
      <c r="G291" s="324">
        <v>13800000</v>
      </c>
      <c r="H291" s="327">
        <v>1</v>
      </c>
      <c r="I291" s="326">
        <v>1.2</v>
      </c>
      <c r="J291" s="223">
        <f t="shared" ref="J291" si="32">ROUND(F291*G291*H291*I291,-3)</f>
        <v>700488000</v>
      </c>
      <c r="K291" s="32"/>
      <c r="L291" s="254" t="s">
        <v>1141</v>
      </c>
      <c r="M291" s="261">
        <f t="shared" si="30"/>
        <v>700488000</v>
      </c>
    </row>
    <row r="292" spans="1:13" s="289" customFormat="1" ht="132" customHeight="1" x14ac:dyDescent="0.3">
      <c r="A292" s="69"/>
      <c r="B292" s="8"/>
      <c r="C292" s="82" t="s">
        <v>1193</v>
      </c>
      <c r="D292" s="81" t="s">
        <v>63</v>
      </c>
      <c r="E292" s="27" t="s">
        <v>23</v>
      </c>
      <c r="F292" s="89">
        <f>6.7*7.3</f>
        <v>48.91</v>
      </c>
      <c r="G292" s="49">
        <f>2975000-99000</f>
        <v>2876000</v>
      </c>
      <c r="H292" s="30">
        <v>1</v>
      </c>
      <c r="I292" s="31">
        <v>1.1479999999999999</v>
      </c>
      <c r="J292" s="223">
        <f t="shared" ref="J292:J298" si="33">ROUND(F292*G292*H292*I292,-3)</f>
        <v>161484000</v>
      </c>
      <c r="K292" s="32">
        <f t="shared" si="29"/>
        <v>161484000</v>
      </c>
      <c r="L292" s="252"/>
      <c r="M292" s="261">
        <f t="shared" si="30"/>
        <v>0</v>
      </c>
    </row>
    <row r="293" spans="1:13" s="289" customFormat="1" ht="78" customHeight="1" x14ac:dyDescent="0.3">
      <c r="A293" s="69"/>
      <c r="B293" s="8"/>
      <c r="C293" s="70" t="s">
        <v>1194</v>
      </c>
      <c r="D293" s="34" t="s">
        <v>51</v>
      </c>
      <c r="E293" s="27" t="s">
        <v>23</v>
      </c>
      <c r="F293" s="89">
        <f>6.7*1.7</f>
        <v>11.39</v>
      </c>
      <c r="G293" s="29">
        <v>453000</v>
      </c>
      <c r="H293" s="37">
        <v>1</v>
      </c>
      <c r="I293" s="31">
        <v>1.1479999999999999</v>
      </c>
      <c r="J293" s="223">
        <f t="shared" si="33"/>
        <v>5923000</v>
      </c>
      <c r="K293" s="32">
        <f t="shared" si="29"/>
        <v>5923000</v>
      </c>
      <c r="L293" s="252"/>
      <c r="M293" s="261">
        <f t="shared" si="30"/>
        <v>0</v>
      </c>
    </row>
    <row r="294" spans="1:13" s="289" customFormat="1" ht="75" customHeight="1" x14ac:dyDescent="0.3">
      <c r="A294" s="69"/>
      <c r="B294" s="8"/>
      <c r="C294" s="82" t="s">
        <v>1195</v>
      </c>
      <c r="D294" s="34" t="s">
        <v>55</v>
      </c>
      <c r="E294" s="27" t="s">
        <v>23</v>
      </c>
      <c r="F294" s="89">
        <f>1.5*0.9</f>
        <v>1.35</v>
      </c>
      <c r="G294" s="29">
        <v>905000</v>
      </c>
      <c r="H294" s="52">
        <v>1</v>
      </c>
      <c r="I294" s="57">
        <v>1.1479999999999999</v>
      </c>
      <c r="J294" s="223">
        <f t="shared" si="33"/>
        <v>1403000</v>
      </c>
      <c r="K294" s="32">
        <f t="shared" si="29"/>
        <v>1403000</v>
      </c>
      <c r="L294" s="252"/>
      <c r="M294" s="261">
        <f t="shared" si="30"/>
        <v>0</v>
      </c>
    </row>
    <row r="295" spans="1:13" s="289" customFormat="1" ht="75" customHeight="1" x14ac:dyDescent="0.3">
      <c r="A295" s="69"/>
      <c r="B295" s="8"/>
      <c r="C295" s="82" t="s">
        <v>1196</v>
      </c>
      <c r="D295" s="34" t="s">
        <v>52</v>
      </c>
      <c r="E295" s="27" t="s">
        <v>23</v>
      </c>
      <c r="F295" s="89">
        <f>6.5*1.6</f>
        <v>10.4</v>
      </c>
      <c r="G295" s="11" t="s">
        <v>53</v>
      </c>
      <c r="H295" s="37">
        <v>1</v>
      </c>
      <c r="I295" s="79">
        <v>1.1479999999999999</v>
      </c>
      <c r="J295" s="223">
        <f t="shared" si="33"/>
        <v>2818000</v>
      </c>
      <c r="K295" s="32">
        <f t="shared" si="29"/>
        <v>2818000</v>
      </c>
      <c r="L295" s="252"/>
      <c r="M295" s="261">
        <f t="shared" si="30"/>
        <v>0</v>
      </c>
    </row>
    <row r="296" spans="1:13" s="289" customFormat="1" ht="75" customHeight="1" x14ac:dyDescent="0.3">
      <c r="A296" s="69"/>
      <c r="B296" s="8"/>
      <c r="C296" s="82" t="s">
        <v>1197</v>
      </c>
      <c r="D296" s="34" t="s">
        <v>68</v>
      </c>
      <c r="E296" s="71" t="s">
        <v>23</v>
      </c>
      <c r="F296" s="89">
        <f>(3.6*0.8)*2+4.9*1</f>
        <v>10.66</v>
      </c>
      <c r="G296" s="46">
        <v>213000</v>
      </c>
      <c r="H296" s="37">
        <v>1</v>
      </c>
      <c r="I296" s="31">
        <v>1.1479999999999999</v>
      </c>
      <c r="J296" s="223">
        <f t="shared" si="33"/>
        <v>2607000</v>
      </c>
      <c r="K296" s="32">
        <f t="shared" si="29"/>
        <v>2607000</v>
      </c>
      <c r="L296" s="252"/>
      <c r="M296" s="261">
        <f t="shared" si="30"/>
        <v>0</v>
      </c>
    </row>
    <row r="297" spans="1:13" s="289" customFormat="1" ht="75" customHeight="1" x14ac:dyDescent="0.3">
      <c r="A297" s="69"/>
      <c r="B297" s="8"/>
      <c r="C297" s="82" t="s">
        <v>1198</v>
      </c>
      <c r="D297" s="42" t="s">
        <v>32</v>
      </c>
      <c r="E297" s="27" t="s">
        <v>23</v>
      </c>
      <c r="F297" s="89">
        <f>6.7*5.2</f>
        <v>34.840000000000003</v>
      </c>
      <c r="G297" s="29">
        <v>215000</v>
      </c>
      <c r="H297" s="30">
        <v>1</v>
      </c>
      <c r="I297" s="31">
        <v>1.1479999999999999</v>
      </c>
      <c r="J297" s="223">
        <f t="shared" si="33"/>
        <v>8599000</v>
      </c>
      <c r="K297" s="32">
        <f t="shared" si="29"/>
        <v>8599000</v>
      </c>
      <c r="L297" s="252"/>
      <c r="M297" s="261">
        <f t="shared" si="30"/>
        <v>0</v>
      </c>
    </row>
    <row r="298" spans="1:13" s="289" customFormat="1" ht="75" customHeight="1" x14ac:dyDescent="0.3">
      <c r="A298" s="69"/>
      <c r="B298" s="8"/>
      <c r="C298" s="82" t="s">
        <v>619</v>
      </c>
      <c r="D298" s="80" t="s">
        <v>58</v>
      </c>
      <c r="E298" s="27" t="s">
        <v>35</v>
      </c>
      <c r="F298" s="76">
        <v>1</v>
      </c>
      <c r="G298" s="49">
        <v>532550</v>
      </c>
      <c r="H298" s="50">
        <v>1</v>
      </c>
      <c r="I298" s="51">
        <v>1</v>
      </c>
      <c r="J298" s="223">
        <f t="shared" si="33"/>
        <v>533000</v>
      </c>
      <c r="K298" s="32">
        <f t="shared" si="29"/>
        <v>533000</v>
      </c>
      <c r="L298" s="252"/>
      <c r="M298" s="261">
        <f t="shared" si="30"/>
        <v>0</v>
      </c>
    </row>
    <row r="299" spans="1:13" s="289" customFormat="1" ht="75" customHeight="1" x14ac:dyDescent="0.25">
      <c r="A299" s="211">
        <v>16</v>
      </c>
      <c r="B299" s="17" t="s">
        <v>1200</v>
      </c>
      <c r="C299" s="433" t="s">
        <v>1201</v>
      </c>
      <c r="D299" s="434"/>
      <c r="E299" s="434"/>
      <c r="F299" s="434"/>
      <c r="G299" s="434"/>
      <c r="H299" s="434"/>
      <c r="I299" s="435"/>
      <c r="J299" s="221">
        <f>SUM(J300:J311)</f>
        <v>1147740000</v>
      </c>
      <c r="K299" s="32">
        <f t="shared" si="29"/>
        <v>0</v>
      </c>
      <c r="L299" s="248" t="s">
        <v>1036</v>
      </c>
      <c r="M299" s="261">
        <f t="shared" si="30"/>
        <v>1147740000</v>
      </c>
    </row>
    <row r="300" spans="1:13" s="289" customFormat="1" ht="102.75" customHeight="1" x14ac:dyDescent="0.25">
      <c r="A300" s="211"/>
      <c r="B300" s="17"/>
      <c r="C300" s="20" t="s">
        <v>1129</v>
      </c>
      <c r="D300" s="26" t="s">
        <v>1199</v>
      </c>
      <c r="E300" s="27" t="s">
        <v>23</v>
      </c>
      <c r="F300" s="330">
        <v>52.2</v>
      </c>
      <c r="G300" s="49">
        <v>13800000</v>
      </c>
      <c r="H300" s="331">
        <v>1</v>
      </c>
      <c r="I300" s="332">
        <v>1.2</v>
      </c>
      <c r="J300" s="32">
        <f t="shared" ref="J300" si="34">ROUND(F300*G300*H300*I300,-3)</f>
        <v>864432000</v>
      </c>
      <c r="K300" s="32"/>
      <c r="L300" s="254" t="s">
        <v>1202</v>
      </c>
      <c r="M300" s="261">
        <f t="shared" si="30"/>
        <v>864432000</v>
      </c>
    </row>
    <row r="301" spans="1:13" s="289" customFormat="1" ht="111.75" customHeight="1" x14ac:dyDescent="0.3">
      <c r="A301" s="69"/>
      <c r="B301" s="8"/>
      <c r="C301" s="82" t="s">
        <v>1203</v>
      </c>
      <c r="D301" s="81" t="s">
        <v>63</v>
      </c>
      <c r="E301" s="27" t="s">
        <v>23</v>
      </c>
      <c r="F301" s="89">
        <f>8.65*7.4</f>
        <v>64.010000000000005</v>
      </c>
      <c r="G301" s="49">
        <v>2975000</v>
      </c>
      <c r="H301" s="37">
        <v>1</v>
      </c>
      <c r="I301" s="31">
        <v>1.1479999999999999</v>
      </c>
      <c r="J301" s="223">
        <f>ROUND(F301*G301*H301*I301,-3)</f>
        <v>218613000</v>
      </c>
      <c r="K301" s="32">
        <f t="shared" si="29"/>
        <v>218613000</v>
      </c>
      <c r="L301" s="252"/>
      <c r="M301" s="261">
        <f t="shared" si="30"/>
        <v>0</v>
      </c>
    </row>
    <row r="302" spans="1:13" s="289" customFormat="1" ht="45" x14ac:dyDescent="0.3">
      <c r="A302" s="69"/>
      <c r="B302" s="8"/>
      <c r="C302" s="82" t="s">
        <v>1204</v>
      </c>
      <c r="D302" s="34" t="s">
        <v>68</v>
      </c>
      <c r="E302" s="168" t="s">
        <v>23</v>
      </c>
      <c r="F302" s="89">
        <f>6.55*2.9+5.4*2.8+3.9*2.8</f>
        <v>45.034999999999997</v>
      </c>
      <c r="G302" s="46">
        <v>213000</v>
      </c>
      <c r="H302" s="37">
        <v>1</v>
      </c>
      <c r="I302" s="31">
        <v>1.1479999999999999</v>
      </c>
      <c r="J302" s="223">
        <f t="shared" ref="J302:J309" si="35">ROUND(F302*G302*H302*I302,-3)</f>
        <v>11012000</v>
      </c>
      <c r="K302" s="32">
        <f t="shared" si="29"/>
        <v>11012000</v>
      </c>
      <c r="L302" s="252"/>
      <c r="M302" s="261">
        <f t="shared" si="30"/>
        <v>0</v>
      </c>
    </row>
    <row r="303" spans="1:13" s="289" customFormat="1" ht="45" x14ac:dyDescent="0.3">
      <c r="A303" s="69"/>
      <c r="B303" s="8"/>
      <c r="C303" s="82" t="s">
        <v>1205</v>
      </c>
      <c r="D303" s="34" t="s">
        <v>52</v>
      </c>
      <c r="E303" s="27" t="s">
        <v>23</v>
      </c>
      <c r="F303" s="89">
        <f>6.95*3+6.1*3.5+2.5*1.4</f>
        <v>45.7</v>
      </c>
      <c r="G303" s="11" t="s">
        <v>53</v>
      </c>
      <c r="H303" s="37">
        <v>1</v>
      </c>
      <c r="I303" s="78">
        <v>1.1479999999999999</v>
      </c>
      <c r="J303" s="223">
        <f t="shared" si="35"/>
        <v>12381000</v>
      </c>
      <c r="K303" s="32">
        <f t="shared" si="29"/>
        <v>12381000</v>
      </c>
      <c r="L303" s="252"/>
      <c r="M303" s="261">
        <f t="shared" si="30"/>
        <v>0</v>
      </c>
    </row>
    <row r="304" spans="1:13" s="289" customFormat="1" ht="45" x14ac:dyDescent="0.3">
      <c r="A304" s="69"/>
      <c r="B304" s="8"/>
      <c r="C304" s="82" t="s">
        <v>1206</v>
      </c>
      <c r="D304" s="34" t="s">
        <v>51</v>
      </c>
      <c r="E304" s="27" t="s">
        <v>23</v>
      </c>
      <c r="F304" s="89">
        <f>8.65*1.4</f>
        <v>12.11</v>
      </c>
      <c r="G304" s="29">
        <v>453000</v>
      </c>
      <c r="H304" s="37">
        <v>1</v>
      </c>
      <c r="I304" s="31">
        <v>1.1479999999999999</v>
      </c>
      <c r="J304" s="223">
        <f t="shared" si="35"/>
        <v>6298000</v>
      </c>
      <c r="K304" s="32">
        <f t="shared" si="29"/>
        <v>6298000</v>
      </c>
      <c r="L304" s="252"/>
      <c r="M304" s="261">
        <f t="shared" si="30"/>
        <v>0</v>
      </c>
    </row>
    <row r="305" spans="1:13" s="289" customFormat="1" ht="45" x14ac:dyDescent="0.3">
      <c r="A305" s="69"/>
      <c r="B305" s="8"/>
      <c r="C305" s="82" t="s">
        <v>1207</v>
      </c>
      <c r="D305" s="26" t="s">
        <v>56</v>
      </c>
      <c r="E305" s="27" t="s">
        <v>23</v>
      </c>
      <c r="F305" s="89">
        <f>2.75*3.5</f>
        <v>9.625</v>
      </c>
      <c r="G305" s="29">
        <v>735000</v>
      </c>
      <c r="H305" s="37">
        <v>1</v>
      </c>
      <c r="I305" s="31">
        <v>1.1479999999999999</v>
      </c>
      <c r="J305" s="223">
        <f t="shared" si="35"/>
        <v>8121000</v>
      </c>
      <c r="K305" s="32">
        <f t="shared" si="29"/>
        <v>8121000</v>
      </c>
      <c r="L305" s="252"/>
      <c r="M305" s="261">
        <f t="shared" si="30"/>
        <v>0</v>
      </c>
    </row>
    <row r="306" spans="1:13" s="289" customFormat="1" ht="45" x14ac:dyDescent="0.3">
      <c r="A306" s="69"/>
      <c r="B306" s="8"/>
      <c r="C306" s="82" t="s">
        <v>911</v>
      </c>
      <c r="D306" s="34" t="s">
        <v>55</v>
      </c>
      <c r="E306" s="27" t="s">
        <v>23</v>
      </c>
      <c r="F306" s="89">
        <f>4.9*2.3</f>
        <v>11.27</v>
      </c>
      <c r="G306" s="29">
        <v>905000</v>
      </c>
      <c r="H306" s="52">
        <v>1</v>
      </c>
      <c r="I306" s="57">
        <v>1.1479999999999999</v>
      </c>
      <c r="J306" s="223">
        <f t="shared" si="35"/>
        <v>11709000</v>
      </c>
      <c r="K306" s="32">
        <f t="shared" si="29"/>
        <v>11709000</v>
      </c>
      <c r="L306" s="252"/>
      <c r="M306" s="261">
        <f t="shared" si="30"/>
        <v>0</v>
      </c>
    </row>
    <row r="307" spans="1:13" s="289" customFormat="1" ht="45" x14ac:dyDescent="0.3">
      <c r="A307" s="69"/>
      <c r="B307" s="8"/>
      <c r="C307" s="82" t="s">
        <v>1208</v>
      </c>
      <c r="D307" s="34" t="s">
        <v>68</v>
      </c>
      <c r="E307" s="96" t="s">
        <v>91</v>
      </c>
      <c r="F307" s="89">
        <f>3*1+(2.5*0.5)*2+1.5*0.4</f>
        <v>6.1</v>
      </c>
      <c r="G307" s="46">
        <v>213000</v>
      </c>
      <c r="H307" s="37">
        <v>1</v>
      </c>
      <c r="I307" s="79">
        <v>1.1479999999999999</v>
      </c>
      <c r="J307" s="223">
        <f t="shared" si="35"/>
        <v>1492000</v>
      </c>
      <c r="K307" s="32">
        <f t="shared" si="29"/>
        <v>1492000</v>
      </c>
      <c r="L307" s="252"/>
      <c r="M307" s="261">
        <f t="shared" si="30"/>
        <v>0</v>
      </c>
    </row>
    <row r="308" spans="1:13" s="289" customFormat="1" ht="45" x14ac:dyDescent="0.3">
      <c r="A308" s="69"/>
      <c r="B308" s="8"/>
      <c r="C308" s="82" t="s">
        <v>1209</v>
      </c>
      <c r="D308" s="42" t="s">
        <v>32</v>
      </c>
      <c r="E308" s="27" t="s">
        <v>23</v>
      </c>
      <c r="F308" s="89">
        <f>8.65*5.2</f>
        <v>44.980000000000004</v>
      </c>
      <c r="G308" s="29">
        <v>215000</v>
      </c>
      <c r="H308" s="30">
        <v>1</v>
      </c>
      <c r="I308" s="31">
        <v>1.1479999999999999</v>
      </c>
      <c r="J308" s="223">
        <f t="shared" si="35"/>
        <v>11102000</v>
      </c>
      <c r="K308" s="32">
        <f t="shared" si="29"/>
        <v>11102000</v>
      </c>
      <c r="L308" s="252"/>
      <c r="M308" s="261">
        <f t="shared" si="30"/>
        <v>0</v>
      </c>
    </row>
    <row r="309" spans="1:13" s="289" customFormat="1" ht="30" x14ac:dyDescent="0.3">
      <c r="A309" s="117"/>
      <c r="B309" s="118"/>
      <c r="C309" s="82" t="s">
        <v>1210</v>
      </c>
      <c r="D309" s="80" t="s">
        <v>58</v>
      </c>
      <c r="E309" s="27" t="s">
        <v>35</v>
      </c>
      <c r="F309" s="89">
        <v>2</v>
      </c>
      <c r="G309" s="29">
        <v>1065100</v>
      </c>
      <c r="H309" s="50">
        <v>1</v>
      </c>
      <c r="I309" s="51">
        <v>1</v>
      </c>
      <c r="J309" s="223">
        <f t="shared" si="35"/>
        <v>2130000</v>
      </c>
      <c r="K309" s="32">
        <f t="shared" si="29"/>
        <v>2130000</v>
      </c>
      <c r="L309" s="252"/>
      <c r="M309" s="261">
        <f t="shared" si="30"/>
        <v>0</v>
      </c>
    </row>
    <row r="310" spans="1:13" s="289" customFormat="1" ht="45" x14ac:dyDescent="0.3">
      <c r="A310" s="69"/>
      <c r="B310" s="8"/>
      <c r="C310" s="113" t="s">
        <v>1211</v>
      </c>
      <c r="D310" s="42" t="s">
        <v>47</v>
      </c>
      <c r="E310" s="63" t="s">
        <v>45</v>
      </c>
      <c r="F310" s="328">
        <v>7</v>
      </c>
      <c r="G310" s="46">
        <v>28000</v>
      </c>
      <c r="H310" s="66">
        <v>1</v>
      </c>
      <c r="I310" s="31">
        <v>1.1479999999999999</v>
      </c>
      <c r="J310" s="223">
        <f>ROUND(F310*G310*H310*I310,-3)</f>
        <v>225000</v>
      </c>
      <c r="K310" s="32">
        <f t="shared" si="29"/>
        <v>225000</v>
      </c>
      <c r="L310" s="252"/>
      <c r="M310" s="261">
        <f t="shared" si="30"/>
        <v>0</v>
      </c>
    </row>
    <row r="311" spans="1:13" s="289" customFormat="1" ht="45" x14ac:dyDescent="0.3">
      <c r="A311" s="104"/>
      <c r="B311" s="105"/>
      <c r="C311" s="113" t="s">
        <v>187</v>
      </c>
      <c r="D311" s="42" t="s">
        <v>47</v>
      </c>
      <c r="E311" s="63" t="s">
        <v>45</v>
      </c>
      <c r="F311" s="329">
        <v>7</v>
      </c>
      <c r="G311" s="46">
        <v>28000</v>
      </c>
      <c r="H311" s="66">
        <v>1</v>
      </c>
      <c r="I311" s="31">
        <v>1.1479999999999999</v>
      </c>
      <c r="J311" s="223">
        <f>ROUND(F311*G311*H311*I311,-3)</f>
        <v>225000</v>
      </c>
      <c r="K311" s="32">
        <f t="shared" si="29"/>
        <v>225000</v>
      </c>
      <c r="L311" s="252"/>
      <c r="M311" s="261">
        <f t="shared" si="30"/>
        <v>0</v>
      </c>
    </row>
    <row r="312" spans="1:13" s="289" customFormat="1" ht="75" customHeight="1" x14ac:dyDescent="0.3">
      <c r="A312" s="211">
        <v>17</v>
      </c>
      <c r="B312" s="17" t="s">
        <v>84</v>
      </c>
      <c r="C312" s="433" t="s">
        <v>1212</v>
      </c>
      <c r="D312" s="434"/>
      <c r="E312" s="434"/>
      <c r="F312" s="434"/>
      <c r="G312" s="434"/>
      <c r="H312" s="434"/>
      <c r="I312" s="435"/>
      <c r="J312" s="221">
        <f>SUM(J313:J320)</f>
        <v>122188000</v>
      </c>
      <c r="K312" s="32">
        <f t="shared" si="29"/>
        <v>0</v>
      </c>
      <c r="L312" s="252"/>
      <c r="M312" s="261">
        <f t="shared" si="30"/>
        <v>122188000</v>
      </c>
    </row>
    <row r="313" spans="1:13" s="289" customFormat="1" ht="97.5" customHeight="1" x14ac:dyDescent="0.3">
      <c r="A313" s="211"/>
      <c r="B313" s="17"/>
      <c r="C313" s="20" t="s">
        <v>1234</v>
      </c>
      <c r="D313" s="26" t="s">
        <v>1199</v>
      </c>
      <c r="E313" s="27" t="s">
        <v>23</v>
      </c>
      <c r="F313" s="333">
        <v>8.4</v>
      </c>
      <c r="G313" s="49">
        <v>7728000</v>
      </c>
      <c r="H313" s="331">
        <v>1</v>
      </c>
      <c r="I313" s="332">
        <v>1.2</v>
      </c>
      <c r="J313" s="32">
        <f t="shared" ref="J313" si="36">ROUND(F313*G313*H313*I313,-3)</f>
        <v>77898000</v>
      </c>
      <c r="K313" s="32"/>
      <c r="L313" s="252"/>
      <c r="M313" s="261">
        <f t="shared" si="30"/>
        <v>77898000</v>
      </c>
    </row>
    <row r="314" spans="1:13" s="289" customFormat="1" ht="84.75" customHeight="1" x14ac:dyDescent="0.3">
      <c r="A314" s="69"/>
      <c r="B314" s="8"/>
      <c r="C314" s="82" t="s">
        <v>1213</v>
      </c>
      <c r="D314" s="81" t="s">
        <v>473</v>
      </c>
      <c r="E314" s="27" t="s">
        <v>23</v>
      </c>
      <c r="F314" s="89">
        <f>(3.1*4.55)*0.5</f>
        <v>7.0525000000000002</v>
      </c>
      <c r="G314" s="29">
        <v>2749000</v>
      </c>
      <c r="H314" s="101">
        <v>1</v>
      </c>
      <c r="I314" s="102">
        <v>1.1479999999999999</v>
      </c>
      <c r="J314" s="223">
        <f>ROUND(F314*G314*H314*I314,-3)</f>
        <v>22257000</v>
      </c>
      <c r="K314" s="32">
        <f t="shared" si="29"/>
        <v>22257000</v>
      </c>
      <c r="L314" s="252"/>
      <c r="M314" s="261">
        <f t="shared" si="30"/>
        <v>0</v>
      </c>
    </row>
    <row r="315" spans="1:13" s="289" customFormat="1" ht="45" x14ac:dyDescent="0.3">
      <c r="A315" s="69"/>
      <c r="B315" s="8"/>
      <c r="C315" s="82" t="s">
        <v>1214</v>
      </c>
      <c r="D315" s="34" t="s">
        <v>68</v>
      </c>
      <c r="E315" s="168" t="s">
        <v>23</v>
      </c>
      <c r="F315" s="89">
        <f>(2.9*4.35)*0.5</f>
        <v>6.3074999999999992</v>
      </c>
      <c r="G315" s="46">
        <v>213000</v>
      </c>
      <c r="H315" s="37">
        <v>1</v>
      </c>
      <c r="I315" s="31">
        <v>1.1479999999999999</v>
      </c>
      <c r="J315" s="223">
        <f t="shared" ref="J315:J320" si="37">ROUND(F315*G315*H315*I315,-3)</f>
        <v>1542000</v>
      </c>
      <c r="K315" s="32">
        <f t="shared" si="29"/>
        <v>1542000</v>
      </c>
      <c r="L315" s="252"/>
      <c r="M315" s="261">
        <f t="shared" si="30"/>
        <v>0</v>
      </c>
    </row>
    <row r="316" spans="1:13" s="289" customFormat="1" ht="45" x14ac:dyDescent="0.3">
      <c r="A316" s="69"/>
      <c r="B316" s="8"/>
      <c r="C316" s="82" t="s">
        <v>1215</v>
      </c>
      <c r="D316" s="34" t="s">
        <v>51</v>
      </c>
      <c r="E316" s="27" t="s">
        <v>23</v>
      </c>
      <c r="F316" s="89">
        <f>(5.3*1.3)*0.5</f>
        <v>3.4449999999999998</v>
      </c>
      <c r="G316" s="29">
        <v>453000</v>
      </c>
      <c r="H316" s="37">
        <v>1</v>
      </c>
      <c r="I316" s="31">
        <v>1.1479999999999999</v>
      </c>
      <c r="J316" s="223">
        <f t="shared" si="37"/>
        <v>1792000</v>
      </c>
      <c r="K316" s="32">
        <f t="shared" si="29"/>
        <v>1792000</v>
      </c>
      <c r="L316" s="252"/>
      <c r="M316" s="261">
        <f t="shared" si="30"/>
        <v>0</v>
      </c>
    </row>
    <row r="317" spans="1:13" s="289" customFormat="1" ht="45" x14ac:dyDescent="0.3">
      <c r="A317" s="69"/>
      <c r="B317" s="8"/>
      <c r="C317" s="82" t="s">
        <v>1216</v>
      </c>
      <c r="D317" s="34" t="s">
        <v>101</v>
      </c>
      <c r="E317" s="71" t="s">
        <v>23</v>
      </c>
      <c r="F317" s="89">
        <f>(5.3*1.2)*0.5</f>
        <v>3.1799999999999997</v>
      </c>
      <c r="G317" s="29">
        <v>339000</v>
      </c>
      <c r="H317" s="37">
        <v>1</v>
      </c>
      <c r="I317" s="31">
        <v>1.1479999999999999</v>
      </c>
      <c r="J317" s="223">
        <f t="shared" si="37"/>
        <v>1238000</v>
      </c>
      <c r="K317" s="32">
        <f t="shared" si="29"/>
        <v>1238000</v>
      </c>
      <c r="L317" s="252"/>
      <c r="M317" s="261">
        <f t="shared" si="30"/>
        <v>0</v>
      </c>
    </row>
    <row r="318" spans="1:13" s="289" customFormat="1" ht="45" x14ac:dyDescent="0.3">
      <c r="A318" s="69"/>
      <c r="B318" s="8"/>
      <c r="C318" s="82" t="s">
        <v>1217</v>
      </c>
      <c r="D318" s="34" t="s">
        <v>66</v>
      </c>
      <c r="E318" s="27" t="s">
        <v>23</v>
      </c>
      <c r="F318" s="89">
        <f>9.5*1.6</f>
        <v>15.200000000000001</v>
      </c>
      <c r="G318" s="29">
        <v>339000</v>
      </c>
      <c r="H318" s="38">
        <v>1</v>
      </c>
      <c r="I318" s="31">
        <v>1.1479999999999999</v>
      </c>
      <c r="J318" s="223">
        <f t="shared" si="37"/>
        <v>5915000</v>
      </c>
      <c r="K318" s="32">
        <f t="shared" si="29"/>
        <v>5915000</v>
      </c>
      <c r="L318" s="252"/>
      <c r="M318" s="261">
        <f t="shared" si="30"/>
        <v>0</v>
      </c>
    </row>
    <row r="319" spans="1:13" s="289" customFormat="1" ht="45" x14ac:dyDescent="0.3">
      <c r="A319" s="69"/>
      <c r="B319" s="8"/>
      <c r="C319" s="82" t="s">
        <v>1218</v>
      </c>
      <c r="D319" s="34" t="s">
        <v>52</v>
      </c>
      <c r="E319" s="27" t="s">
        <v>23</v>
      </c>
      <c r="F319" s="89">
        <f>5.3*2</f>
        <v>10.6</v>
      </c>
      <c r="G319" s="11" t="s">
        <v>53</v>
      </c>
      <c r="H319" s="37">
        <v>1</v>
      </c>
      <c r="I319" s="78">
        <v>1.1479999999999999</v>
      </c>
      <c r="J319" s="223">
        <f t="shared" si="37"/>
        <v>2872000</v>
      </c>
      <c r="K319" s="32">
        <f t="shared" si="29"/>
        <v>2872000</v>
      </c>
      <c r="L319" s="252"/>
      <c r="M319" s="261">
        <f t="shared" si="30"/>
        <v>0</v>
      </c>
    </row>
    <row r="320" spans="1:13" s="289" customFormat="1" ht="45" x14ac:dyDescent="0.3">
      <c r="A320" s="69"/>
      <c r="B320" s="8"/>
      <c r="C320" s="82" t="s">
        <v>1219</v>
      </c>
      <c r="D320" s="34" t="s">
        <v>29</v>
      </c>
      <c r="E320" s="27" t="s">
        <v>23</v>
      </c>
      <c r="F320" s="89">
        <f>5.3*1.8</f>
        <v>9.5399999999999991</v>
      </c>
      <c r="G320" s="29">
        <v>792000</v>
      </c>
      <c r="H320" s="37">
        <v>1</v>
      </c>
      <c r="I320" s="31">
        <v>1.1479999999999999</v>
      </c>
      <c r="J320" s="223">
        <f t="shared" si="37"/>
        <v>8674000</v>
      </c>
      <c r="K320" s="32">
        <f t="shared" si="29"/>
        <v>8674000</v>
      </c>
      <c r="L320" s="252"/>
      <c r="M320" s="261">
        <f t="shared" si="30"/>
        <v>0</v>
      </c>
    </row>
    <row r="321" spans="1:13" s="289" customFormat="1" ht="75" customHeight="1" x14ac:dyDescent="0.25">
      <c r="A321" s="18">
        <v>18</v>
      </c>
      <c r="B321" s="19" t="s">
        <v>1220</v>
      </c>
      <c r="C321" s="455" t="s">
        <v>1221</v>
      </c>
      <c r="D321" s="456"/>
      <c r="E321" s="456"/>
      <c r="F321" s="456"/>
      <c r="G321" s="456"/>
      <c r="H321" s="456"/>
      <c r="I321" s="457"/>
      <c r="J321" s="221">
        <f>SUM(J322:J335)</f>
        <v>921872000</v>
      </c>
      <c r="K321" s="32">
        <f t="shared" si="29"/>
        <v>0</v>
      </c>
      <c r="L321" s="248" t="s">
        <v>1036</v>
      </c>
      <c r="M321" s="261">
        <f t="shared" si="30"/>
        <v>921872000</v>
      </c>
    </row>
    <row r="322" spans="1:13" s="289" customFormat="1" ht="101.25" customHeight="1" x14ac:dyDescent="0.25">
      <c r="A322" s="211"/>
      <c r="B322" s="17"/>
      <c r="C322" s="20" t="s">
        <v>1129</v>
      </c>
      <c r="D322" s="26" t="s">
        <v>1199</v>
      </c>
      <c r="E322" s="27" t="s">
        <v>23</v>
      </c>
      <c r="F322" s="333">
        <v>41.6</v>
      </c>
      <c r="G322" s="49">
        <v>13800000</v>
      </c>
      <c r="H322" s="331">
        <v>1</v>
      </c>
      <c r="I322" s="332">
        <v>1.2</v>
      </c>
      <c r="J322" s="32">
        <f t="shared" ref="J322" si="38">ROUND(F322*G322*H322*I322,-3)</f>
        <v>688896000</v>
      </c>
      <c r="K322" s="32"/>
      <c r="L322" s="254">
        <v>46.4</v>
      </c>
      <c r="M322" s="261">
        <f t="shared" si="30"/>
        <v>688896000</v>
      </c>
    </row>
    <row r="323" spans="1:13" s="289" customFormat="1" ht="102" customHeight="1" x14ac:dyDescent="0.3">
      <c r="A323" s="69"/>
      <c r="B323" s="8"/>
      <c r="C323" s="82" t="s">
        <v>1222</v>
      </c>
      <c r="D323" s="81" t="s">
        <v>63</v>
      </c>
      <c r="E323" s="27" t="s">
        <v>23</v>
      </c>
      <c r="F323" s="89">
        <f>6.65*7.25</f>
        <v>48.212500000000006</v>
      </c>
      <c r="G323" s="49">
        <v>2975000</v>
      </c>
      <c r="H323" s="37">
        <v>1</v>
      </c>
      <c r="I323" s="31">
        <v>1.1479999999999999</v>
      </c>
      <c r="J323" s="223">
        <f>ROUND(F323*G323*H323*I323,-3)</f>
        <v>164660000</v>
      </c>
      <c r="K323" s="32">
        <f t="shared" si="29"/>
        <v>164660000</v>
      </c>
      <c r="L323" s="252"/>
      <c r="M323" s="261">
        <f t="shared" si="30"/>
        <v>0</v>
      </c>
    </row>
    <row r="324" spans="1:13" s="289" customFormat="1" ht="56.25" x14ac:dyDescent="0.3">
      <c r="A324" s="69"/>
      <c r="B324" s="8"/>
      <c r="C324" s="82" t="s">
        <v>1223</v>
      </c>
      <c r="D324" s="34" t="s">
        <v>66</v>
      </c>
      <c r="E324" s="27" t="s">
        <v>23</v>
      </c>
      <c r="F324" s="89">
        <f>5.1*0.25+6*0.25+(0.6*3)*2</f>
        <v>6.375</v>
      </c>
      <c r="G324" s="29">
        <v>339000</v>
      </c>
      <c r="H324" s="38">
        <v>1</v>
      </c>
      <c r="I324" s="31">
        <v>1.1479999999999999</v>
      </c>
      <c r="J324" s="223">
        <f t="shared" ref="J324:J333" si="39">ROUND(F324*G324*H324*I324,-3)</f>
        <v>2481000</v>
      </c>
      <c r="K324" s="32">
        <f t="shared" si="29"/>
        <v>2481000</v>
      </c>
      <c r="L324" s="252"/>
      <c r="M324" s="261">
        <f t="shared" si="30"/>
        <v>0</v>
      </c>
    </row>
    <row r="325" spans="1:13" s="289" customFormat="1" ht="45" x14ac:dyDescent="0.3">
      <c r="A325" s="69"/>
      <c r="B325" s="8"/>
      <c r="C325" s="82" t="s">
        <v>1224</v>
      </c>
      <c r="D325" s="34" t="s">
        <v>51</v>
      </c>
      <c r="E325" s="27" t="s">
        <v>23</v>
      </c>
      <c r="F325" s="89">
        <f>6.65*1.6</f>
        <v>10.64</v>
      </c>
      <c r="G325" s="29">
        <v>453000</v>
      </c>
      <c r="H325" s="37">
        <v>1</v>
      </c>
      <c r="I325" s="31">
        <v>1.1479999999999999</v>
      </c>
      <c r="J325" s="223">
        <f t="shared" si="39"/>
        <v>5533000</v>
      </c>
      <c r="K325" s="32">
        <f t="shared" si="29"/>
        <v>5533000</v>
      </c>
      <c r="L325" s="252"/>
      <c r="M325" s="261">
        <f t="shared" si="30"/>
        <v>0</v>
      </c>
    </row>
    <row r="326" spans="1:13" s="289" customFormat="1" ht="45" x14ac:dyDescent="0.3">
      <c r="A326" s="69"/>
      <c r="B326" s="8"/>
      <c r="C326" s="82" t="s">
        <v>1225</v>
      </c>
      <c r="D326" s="42" t="s">
        <v>32</v>
      </c>
      <c r="E326" s="27" t="s">
        <v>23</v>
      </c>
      <c r="F326" s="89">
        <f>6.65*5.2</f>
        <v>34.580000000000005</v>
      </c>
      <c r="G326" s="29">
        <v>215000</v>
      </c>
      <c r="H326" s="30">
        <v>1</v>
      </c>
      <c r="I326" s="31">
        <v>1.1479999999999999</v>
      </c>
      <c r="J326" s="223">
        <f t="shared" si="39"/>
        <v>8535000</v>
      </c>
      <c r="K326" s="32">
        <f t="shared" si="29"/>
        <v>8535000</v>
      </c>
      <c r="L326" s="252"/>
      <c r="M326" s="261">
        <f t="shared" si="30"/>
        <v>0</v>
      </c>
    </row>
    <row r="327" spans="1:13" s="289" customFormat="1" ht="45" x14ac:dyDescent="0.3">
      <c r="A327" s="69"/>
      <c r="B327" s="8"/>
      <c r="C327" s="82" t="s">
        <v>1226</v>
      </c>
      <c r="D327" s="34" t="s">
        <v>52</v>
      </c>
      <c r="E327" s="27" t="s">
        <v>23</v>
      </c>
      <c r="F327" s="89">
        <f>(0.6*3.2)*2</f>
        <v>3.84</v>
      </c>
      <c r="G327" s="11" t="s">
        <v>53</v>
      </c>
      <c r="H327" s="37">
        <v>1</v>
      </c>
      <c r="I327" s="78">
        <v>1.1479999999999999</v>
      </c>
      <c r="J327" s="223">
        <f t="shared" si="39"/>
        <v>1040000</v>
      </c>
      <c r="K327" s="32">
        <f t="shared" si="29"/>
        <v>1040000</v>
      </c>
      <c r="L327" s="252"/>
      <c r="M327" s="261">
        <f t="shared" si="30"/>
        <v>0</v>
      </c>
    </row>
    <row r="328" spans="1:13" s="289" customFormat="1" ht="45" x14ac:dyDescent="0.3">
      <c r="A328" s="69"/>
      <c r="B328" s="8"/>
      <c r="C328" s="82" t="s">
        <v>1227</v>
      </c>
      <c r="D328" s="34" t="s">
        <v>52</v>
      </c>
      <c r="E328" s="27" t="s">
        <v>23</v>
      </c>
      <c r="F328" s="89">
        <f>6.65*1.5</f>
        <v>9.9750000000000014</v>
      </c>
      <c r="G328" s="11" t="s">
        <v>53</v>
      </c>
      <c r="H328" s="37">
        <v>1</v>
      </c>
      <c r="I328" s="79">
        <v>1.1479999999999999</v>
      </c>
      <c r="J328" s="223">
        <f t="shared" si="39"/>
        <v>2703000</v>
      </c>
      <c r="K328" s="32">
        <f t="shared" si="29"/>
        <v>2703000</v>
      </c>
      <c r="L328" s="252"/>
      <c r="M328" s="261">
        <f t="shared" si="30"/>
        <v>0</v>
      </c>
    </row>
    <row r="329" spans="1:13" s="289" customFormat="1" ht="45" x14ac:dyDescent="0.3">
      <c r="A329" s="69"/>
      <c r="B329" s="8"/>
      <c r="C329" s="82" t="s">
        <v>1228</v>
      </c>
      <c r="D329" s="34" t="s">
        <v>68</v>
      </c>
      <c r="E329" s="168" t="s">
        <v>23</v>
      </c>
      <c r="F329" s="89">
        <f>5.4*6.3+5.4*6.5</f>
        <v>69.12</v>
      </c>
      <c r="G329" s="46">
        <v>213000</v>
      </c>
      <c r="H329" s="37">
        <v>1</v>
      </c>
      <c r="I329" s="31">
        <v>1.1479999999999999</v>
      </c>
      <c r="J329" s="223">
        <f t="shared" si="39"/>
        <v>16901000</v>
      </c>
      <c r="K329" s="32">
        <f t="shared" si="29"/>
        <v>16901000</v>
      </c>
      <c r="L329" s="252"/>
      <c r="M329" s="261">
        <f t="shared" si="30"/>
        <v>0</v>
      </c>
    </row>
    <row r="330" spans="1:13" s="289" customFormat="1" ht="56.25" x14ac:dyDescent="0.3">
      <c r="A330" s="69"/>
      <c r="B330" s="8"/>
      <c r="C330" s="82" t="s">
        <v>1229</v>
      </c>
      <c r="D330" s="26" t="s">
        <v>24</v>
      </c>
      <c r="E330" s="84" t="s">
        <v>25</v>
      </c>
      <c r="F330" s="89">
        <f>6.3*0.3*0.15+6.65*0.6*0.15</f>
        <v>0.88200000000000001</v>
      </c>
      <c r="G330" s="86">
        <v>2828000</v>
      </c>
      <c r="H330" s="87">
        <v>1</v>
      </c>
      <c r="I330" s="88">
        <v>1.1479999999999999</v>
      </c>
      <c r="J330" s="223">
        <f t="shared" si="39"/>
        <v>2863000</v>
      </c>
      <c r="K330" s="32">
        <f t="shared" ref="K330:K358" si="40">ROUND(G330*H330*I330*F330,-3)</f>
        <v>2863000</v>
      </c>
      <c r="L330" s="252"/>
      <c r="M330" s="261">
        <f t="shared" si="30"/>
        <v>0</v>
      </c>
    </row>
    <row r="331" spans="1:13" s="289" customFormat="1" ht="56.25" x14ac:dyDescent="0.3">
      <c r="A331" s="69"/>
      <c r="B331" s="8"/>
      <c r="C331" s="82" t="s">
        <v>1230</v>
      </c>
      <c r="D331" s="34" t="s">
        <v>66</v>
      </c>
      <c r="E331" s="27" t="s">
        <v>23</v>
      </c>
      <c r="F331" s="89">
        <f>6.65*0.3+(7.25*1)*2+6.65*2</f>
        <v>29.795000000000002</v>
      </c>
      <c r="G331" s="29">
        <v>339000</v>
      </c>
      <c r="H331" s="38">
        <v>1</v>
      </c>
      <c r="I331" s="31">
        <v>1.1479999999999999</v>
      </c>
      <c r="J331" s="223">
        <f t="shared" si="39"/>
        <v>11595000</v>
      </c>
      <c r="K331" s="32">
        <f t="shared" si="40"/>
        <v>11595000</v>
      </c>
      <c r="L331" s="252"/>
      <c r="M331" s="261">
        <f t="shared" si="30"/>
        <v>0</v>
      </c>
    </row>
    <row r="332" spans="1:13" s="289" customFormat="1" ht="45" x14ac:dyDescent="0.3">
      <c r="A332" s="69"/>
      <c r="B332" s="8"/>
      <c r="C332" s="82" t="s">
        <v>1231</v>
      </c>
      <c r="D332" s="26" t="s">
        <v>56</v>
      </c>
      <c r="E332" s="27" t="s">
        <v>23</v>
      </c>
      <c r="F332" s="89">
        <f>6*3.2</f>
        <v>19.200000000000003</v>
      </c>
      <c r="G332" s="29">
        <v>735000</v>
      </c>
      <c r="H332" s="37">
        <v>1</v>
      </c>
      <c r="I332" s="31">
        <v>1.1479999999999999</v>
      </c>
      <c r="J332" s="223">
        <f t="shared" si="39"/>
        <v>16201000</v>
      </c>
      <c r="K332" s="32">
        <f t="shared" si="40"/>
        <v>16201000</v>
      </c>
      <c r="L332" s="252"/>
      <c r="M332" s="261">
        <f t="shared" si="30"/>
        <v>0</v>
      </c>
    </row>
    <row r="333" spans="1:13" s="289" customFormat="1" ht="30" x14ac:dyDescent="0.3">
      <c r="A333" s="69"/>
      <c r="B333" s="8"/>
      <c r="C333" s="83" t="s">
        <v>1232</v>
      </c>
      <c r="D333" s="47" t="s">
        <v>1233</v>
      </c>
      <c r="E333" s="27" t="s">
        <v>35</v>
      </c>
      <c r="F333" s="85">
        <v>1</v>
      </c>
      <c r="G333" s="29">
        <v>13630</v>
      </c>
      <c r="H333" s="50">
        <v>1</v>
      </c>
      <c r="I333" s="51">
        <v>1</v>
      </c>
      <c r="J333" s="223">
        <f t="shared" si="39"/>
        <v>14000</v>
      </c>
      <c r="K333" s="32">
        <f t="shared" si="40"/>
        <v>14000</v>
      </c>
      <c r="L333" s="252"/>
      <c r="M333" s="261">
        <f t="shared" si="30"/>
        <v>0</v>
      </c>
    </row>
    <row r="334" spans="1:13" s="289" customFormat="1" ht="45" x14ac:dyDescent="0.3">
      <c r="A334" s="117"/>
      <c r="B334" s="118"/>
      <c r="C334" s="82" t="s">
        <v>186</v>
      </c>
      <c r="D334" s="62" t="s">
        <v>44</v>
      </c>
      <c r="E334" s="63" t="s">
        <v>45</v>
      </c>
      <c r="F334" s="89">
        <v>7</v>
      </c>
      <c r="G334" s="65">
        <v>28000</v>
      </c>
      <c r="H334" s="66">
        <v>1</v>
      </c>
      <c r="I334" s="31">
        <v>1.1479999999999999</v>
      </c>
      <c r="J334" s="223">
        <f>ROUND(F334*G334*H334*I334,-3)</f>
        <v>225000</v>
      </c>
      <c r="K334" s="32">
        <f t="shared" si="40"/>
        <v>225000</v>
      </c>
      <c r="L334" s="252"/>
      <c r="M334" s="261">
        <f t="shared" si="30"/>
        <v>0</v>
      </c>
    </row>
    <row r="335" spans="1:13" s="289" customFormat="1" ht="45" x14ac:dyDescent="0.3">
      <c r="A335" s="69"/>
      <c r="B335" s="8"/>
      <c r="C335" s="82" t="s">
        <v>187</v>
      </c>
      <c r="D335" s="42" t="s">
        <v>47</v>
      </c>
      <c r="E335" s="63" t="s">
        <v>45</v>
      </c>
      <c r="F335" s="89">
        <v>7</v>
      </c>
      <c r="G335" s="46">
        <v>28000</v>
      </c>
      <c r="H335" s="66">
        <v>1</v>
      </c>
      <c r="I335" s="31">
        <v>1.1479999999999999</v>
      </c>
      <c r="J335" s="223">
        <f>ROUND(F335*G335*H335*I335,-3)</f>
        <v>225000</v>
      </c>
      <c r="K335" s="32">
        <f t="shared" si="40"/>
        <v>225000</v>
      </c>
      <c r="L335" s="252"/>
      <c r="M335" s="261">
        <f t="shared" si="30"/>
        <v>0</v>
      </c>
    </row>
    <row r="336" spans="1:13" s="289" customFormat="1" ht="75" customHeight="1" x14ac:dyDescent="0.3">
      <c r="A336" s="67">
        <v>19</v>
      </c>
      <c r="B336" s="68" t="s">
        <v>1243</v>
      </c>
      <c r="C336" s="433" t="s">
        <v>1244</v>
      </c>
      <c r="D336" s="434"/>
      <c r="E336" s="434"/>
      <c r="F336" s="434"/>
      <c r="G336" s="434"/>
      <c r="H336" s="434"/>
      <c r="I336" s="435"/>
      <c r="J336" s="221">
        <f>SUM(J337:J358)</f>
        <v>1698767000</v>
      </c>
      <c r="K336" s="32">
        <f t="shared" si="40"/>
        <v>0</v>
      </c>
      <c r="L336" s="252"/>
      <c r="M336" s="261">
        <f t="shared" si="30"/>
        <v>1698767000</v>
      </c>
    </row>
    <row r="337" spans="1:13" s="289" customFormat="1" ht="75" x14ac:dyDescent="0.3">
      <c r="A337" s="67"/>
      <c r="B337" s="68"/>
      <c r="C337" s="20" t="s">
        <v>1129</v>
      </c>
      <c r="D337" s="26"/>
      <c r="E337" s="27" t="s">
        <v>23</v>
      </c>
      <c r="F337" s="33">
        <v>67.7</v>
      </c>
      <c r="G337" s="49">
        <v>13800000</v>
      </c>
      <c r="H337" s="331">
        <v>1</v>
      </c>
      <c r="I337" s="332">
        <v>1.2</v>
      </c>
      <c r="J337" s="223">
        <f>ROUND(F337*G337*H337*I337,-3)</f>
        <v>1121112000</v>
      </c>
      <c r="K337" s="32"/>
      <c r="L337" s="252"/>
      <c r="M337" s="261">
        <f t="shared" ref="M337:M358" si="41">J337-K337</f>
        <v>1121112000</v>
      </c>
    </row>
    <row r="338" spans="1:13" s="289" customFormat="1" ht="93.75" customHeight="1" x14ac:dyDescent="0.3">
      <c r="A338" s="67"/>
      <c r="B338" s="68"/>
      <c r="C338" s="20" t="s">
        <v>1130</v>
      </c>
      <c r="D338" s="26"/>
      <c r="E338" s="22" t="s">
        <v>23</v>
      </c>
      <c r="F338" s="203">
        <v>18.399999999999999</v>
      </c>
      <c r="G338" s="493" t="s">
        <v>1133</v>
      </c>
      <c r="H338" s="494"/>
      <c r="I338" s="494"/>
      <c r="J338" s="222">
        <v>0</v>
      </c>
      <c r="K338" s="32"/>
      <c r="L338" s="252"/>
      <c r="M338" s="261"/>
    </row>
    <row r="339" spans="1:13" s="289" customFormat="1" ht="93.75" x14ac:dyDescent="0.3">
      <c r="A339" s="67"/>
      <c r="B339" s="68"/>
      <c r="C339" s="25" t="s">
        <v>1245</v>
      </c>
      <c r="D339" s="81" t="s">
        <v>148</v>
      </c>
      <c r="E339" s="27" t="s">
        <v>23</v>
      </c>
      <c r="F339" s="33">
        <f>5.4*7.85</f>
        <v>42.39</v>
      </c>
      <c r="G339" s="29">
        <v>3564000</v>
      </c>
      <c r="H339" s="101">
        <v>1</v>
      </c>
      <c r="I339" s="102">
        <v>1.1479999999999999</v>
      </c>
      <c r="J339" s="223">
        <f>ROUND(F339*G339*H339*I339,-3)</f>
        <v>173437000</v>
      </c>
      <c r="K339" s="32">
        <f t="shared" si="40"/>
        <v>173437000</v>
      </c>
      <c r="L339" s="252"/>
      <c r="M339" s="261">
        <f t="shared" si="41"/>
        <v>0</v>
      </c>
    </row>
    <row r="340" spans="1:13" s="289" customFormat="1" ht="45" x14ac:dyDescent="0.3">
      <c r="A340" s="67"/>
      <c r="B340" s="68"/>
      <c r="C340" s="25" t="s">
        <v>1246</v>
      </c>
      <c r="D340" s="81" t="s">
        <v>148</v>
      </c>
      <c r="E340" s="27" t="s">
        <v>928</v>
      </c>
      <c r="F340" s="33">
        <f>5.4*4.75</f>
        <v>25.650000000000002</v>
      </c>
      <c r="G340" s="29">
        <v>3564000</v>
      </c>
      <c r="H340" s="37">
        <v>0.8</v>
      </c>
      <c r="I340" s="102">
        <v>2.1480000000000001</v>
      </c>
      <c r="J340" s="223">
        <f>ROUND(F340*G340*H340*I340,-3)</f>
        <v>157090000</v>
      </c>
      <c r="K340" s="32">
        <f t="shared" si="40"/>
        <v>157090000</v>
      </c>
      <c r="L340" s="252"/>
      <c r="M340" s="261">
        <f t="shared" si="41"/>
        <v>0</v>
      </c>
    </row>
    <row r="341" spans="1:13" s="289" customFormat="1" ht="45" x14ac:dyDescent="0.3">
      <c r="A341" s="67"/>
      <c r="B341" s="68"/>
      <c r="C341" s="25" t="s">
        <v>1247</v>
      </c>
      <c r="D341" s="44" t="s">
        <v>33</v>
      </c>
      <c r="E341" s="27" t="s">
        <v>23</v>
      </c>
      <c r="F341" s="33">
        <f>9.6*0.9</f>
        <v>8.64</v>
      </c>
      <c r="G341" s="29">
        <v>453000</v>
      </c>
      <c r="H341" s="45">
        <v>1</v>
      </c>
      <c r="I341" s="31">
        <v>1.1479999999999999</v>
      </c>
      <c r="J341" s="223">
        <f>ROUND(F341*G341*H341*I341,-3)</f>
        <v>4493000</v>
      </c>
      <c r="K341" s="32">
        <f t="shared" si="40"/>
        <v>4493000</v>
      </c>
      <c r="L341" s="252"/>
      <c r="M341" s="261">
        <f t="shared" si="41"/>
        <v>0</v>
      </c>
    </row>
    <row r="342" spans="1:13" s="289" customFormat="1" ht="45" x14ac:dyDescent="0.3">
      <c r="A342" s="67"/>
      <c r="B342" s="68"/>
      <c r="C342" s="25" t="s">
        <v>1248</v>
      </c>
      <c r="D342" s="34" t="s">
        <v>68</v>
      </c>
      <c r="E342" s="168" t="s">
        <v>23</v>
      </c>
      <c r="F342" s="46">
        <f>5.2*7.55</f>
        <v>39.26</v>
      </c>
      <c r="G342" s="46">
        <v>213000</v>
      </c>
      <c r="H342" s="37">
        <v>1</v>
      </c>
      <c r="I342" s="31">
        <v>1.1479999999999999</v>
      </c>
      <c r="J342" s="223">
        <f>ROUND(F342*G342*H342*I342,-3)</f>
        <v>9600000</v>
      </c>
      <c r="K342" s="32">
        <f t="shared" si="40"/>
        <v>9600000</v>
      </c>
      <c r="L342" s="252"/>
      <c r="M342" s="261">
        <f t="shared" si="41"/>
        <v>0</v>
      </c>
    </row>
    <row r="343" spans="1:13" s="289" customFormat="1" ht="56.25" x14ac:dyDescent="0.3">
      <c r="A343" s="67"/>
      <c r="B343" s="68"/>
      <c r="C343" s="25" t="s">
        <v>1249</v>
      </c>
      <c r="D343" s="34" t="s">
        <v>28</v>
      </c>
      <c r="E343" s="27" t="s">
        <v>23</v>
      </c>
      <c r="F343" s="33">
        <f>3.15*0.6+(0.4*0.9)*18+(3.9*0.4)*2</f>
        <v>11.490000000000002</v>
      </c>
      <c r="G343" s="11">
        <v>396000</v>
      </c>
      <c r="H343" s="38">
        <v>1</v>
      </c>
      <c r="I343" s="31">
        <v>1.1479999999999999</v>
      </c>
      <c r="J343" s="223">
        <f>ROUND(F343*G343*H343*I343,-3)</f>
        <v>5223000</v>
      </c>
      <c r="K343" s="32">
        <f t="shared" si="40"/>
        <v>5223000</v>
      </c>
      <c r="L343" s="252"/>
      <c r="M343" s="261">
        <f t="shared" si="41"/>
        <v>0</v>
      </c>
    </row>
    <row r="344" spans="1:13" s="289" customFormat="1" ht="56.25" x14ac:dyDescent="0.3">
      <c r="A344" s="67"/>
      <c r="B344" s="68"/>
      <c r="C344" s="25" t="s">
        <v>1250</v>
      </c>
      <c r="D344" s="34" t="s">
        <v>66</v>
      </c>
      <c r="E344" s="27" t="s">
        <v>23</v>
      </c>
      <c r="F344" s="33">
        <f>6.2*2.3+3.6*2.8+(0.7*0.5)*12+2.05*0.9</f>
        <v>30.384999999999998</v>
      </c>
      <c r="G344" s="29">
        <v>339000</v>
      </c>
      <c r="H344" s="38">
        <v>1</v>
      </c>
      <c r="I344" s="31">
        <v>1.1479999999999999</v>
      </c>
      <c r="J344" s="223">
        <f t="shared" ref="J344:J355" si="42">ROUND(F344*G344*H344*I344,-3)</f>
        <v>11825000</v>
      </c>
      <c r="K344" s="32">
        <f t="shared" si="40"/>
        <v>11825000</v>
      </c>
      <c r="L344" s="252"/>
      <c r="M344" s="261">
        <f t="shared" si="41"/>
        <v>0</v>
      </c>
    </row>
    <row r="345" spans="1:13" s="289" customFormat="1" ht="56.25" x14ac:dyDescent="0.3">
      <c r="A345" s="67"/>
      <c r="B345" s="68"/>
      <c r="C345" s="25" t="s">
        <v>1251</v>
      </c>
      <c r="D345" s="34" t="s">
        <v>66</v>
      </c>
      <c r="E345" s="27" t="s">
        <v>23</v>
      </c>
      <c r="F345" s="33">
        <f>10.6*2.5+11.8*0.15+8.2*0.9</f>
        <v>35.65</v>
      </c>
      <c r="G345" s="29">
        <v>339000</v>
      </c>
      <c r="H345" s="38">
        <v>1</v>
      </c>
      <c r="I345" s="31">
        <v>1.1479999999999999</v>
      </c>
      <c r="J345" s="223">
        <f t="shared" si="42"/>
        <v>13874000</v>
      </c>
      <c r="K345" s="32">
        <f t="shared" si="40"/>
        <v>13874000</v>
      </c>
      <c r="L345" s="252"/>
      <c r="M345" s="261">
        <f t="shared" si="41"/>
        <v>0</v>
      </c>
    </row>
    <row r="346" spans="1:13" s="289" customFormat="1" ht="45" x14ac:dyDescent="0.3">
      <c r="A346" s="67"/>
      <c r="B346" s="68"/>
      <c r="C346" s="25" t="s">
        <v>1252</v>
      </c>
      <c r="D346" s="34" t="s">
        <v>51</v>
      </c>
      <c r="E346" s="27" t="s">
        <v>23</v>
      </c>
      <c r="F346" s="33">
        <f>5.4*4.2</f>
        <v>22.680000000000003</v>
      </c>
      <c r="G346" s="29">
        <v>453000</v>
      </c>
      <c r="H346" s="37">
        <v>1</v>
      </c>
      <c r="I346" s="31">
        <v>1.1479999999999999</v>
      </c>
      <c r="J346" s="223">
        <f t="shared" si="42"/>
        <v>11795000</v>
      </c>
      <c r="K346" s="32">
        <f t="shared" si="40"/>
        <v>11795000</v>
      </c>
      <c r="L346" s="252"/>
      <c r="M346" s="261">
        <f t="shared" si="41"/>
        <v>0</v>
      </c>
    </row>
    <row r="347" spans="1:13" s="289" customFormat="1" ht="45" x14ac:dyDescent="0.3">
      <c r="A347" s="67"/>
      <c r="B347" s="68"/>
      <c r="C347" s="25" t="s">
        <v>1253</v>
      </c>
      <c r="D347" s="34" t="s">
        <v>101</v>
      </c>
      <c r="E347" s="71" t="s">
        <v>23</v>
      </c>
      <c r="F347" s="33">
        <f>5.4*2.7</f>
        <v>14.580000000000002</v>
      </c>
      <c r="G347" s="29">
        <v>339000</v>
      </c>
      <c r="H347" s="37">
        <v>1</v>
      </c>
      <c r="I347" s="31">
        <v>1.1479999999999999</v>
      </c>
      <c r="J347" s="223">
        <f t="shared" si="42"/>
        <v>5674000</v>
      </c>
      <c r="K347" s="32">
        <f t="shared" si="40"/>
        <v>5674000</v>
      </c>
      <c r="L347" s="252"/>
      <c r="M347" s="261">
        <f t="shared" si="41"/>
        <v>0</v>
      </c>
    </row>
    <row r="348" spans="1:13" s="289" customFormat="1" ht="45" x14ac:dyDescent="0.3">
      <c r="A348" s="67"/>
      <c r="B348" s="68"/>
      <c r="C348" s="25" t="s">
        <v>1254</v>
      </c>
      <c r="D348" s="34" t="s">
        <v>29</v>
      </c>
      <c r="E348" s="27" t="s">
        <v>23</v>
      </c>
      <c r="F348" s="33">
        <f>(2.1*3.6)*2+(0.5*1)*2</f>
        <v>16.12</v>
      </c>
      <c r="G348" s="29">
        <v>792000</v>
      </c>
      <c r="H348" s="37">
        <v>1</v>
      </c>
      <c r="I348" s="31">
        <v>1.1479999999999999</v>
      </c>
      <c r="J348" s="223">
        <f t="shared" si="42"/>
        <v>14657000</v>
      </c>
      <c r="K348" s="32">
        <f t="shared" si="40"/>
        <v>14657000</v>
      </c>
      <c r="L348" s="252"/>
      <c r="M348" s="261">
        <f t="shared" si="41"/>
        <v>0</v>
      </c>
    </row>
    <row r="349" spans="1:13" s="289" customFormat="1" ht="45" x14ac:dyDescent="0.3">
      <c r="A349" s="67"/>
      <c r="B349" s="68"/>
      <c r="C349" s="25" t="s">
        <v>1255</v>
      </c>
      <c r="D349" s="34" t="s">
        <v>52</v>
      </c>
      <c r="E349" s="27" t="s">
        <v>23</v>
      </c>
      <c r="F349" s="33">
        <f>(0.9*3.5)*2+5*0.6</f>
        <v>9.3000000000000007</v>
      </c>
      <c r="G349" s="11" t="s">
        <v>53</v>
      </c>
      <c r="H349" s="37">
        <v>1</v>
      </c>
      <c r="I349" s="78">
        <v>1.1479999999999999</v>
      </c>
      <c r="J349" s="223">
        <f t="shared" si="42"/>
        <v>2520000</v>
      </c>
      <c r="K349" s="32">
        <f t="shared" si="40"/>
        <v>2520000</v>
      </c>
      <c r="L349" s="252"/>
      <c r="M349" s="261">
        <f t="shared" si="41"/>
        <v>0</v>
      </c>
    </row>
    <row r="350" spans="1:13" s="289" customFormat="1" ht="45" x14ac:dyDescent="0.3">
      <c r="A350" s="67"/>
      <c r="B350" s="68"/>
      <c r="C350" s="25" t="s">
        <v>1256</v>
      </c>
      <c r="D350" s="34" t="s">
        <v>66</v>
      </c>
      <c r="E350" s="27" t="s">
        <v>23</v>
      </c>
      <c r="F350" s="33">
        <f>4*1.8</f>
        <v>7.2</v>
      </c>
      <c r="G350" s="29">
        <v>339000</v>
      </c>
      <c r="H350" s="38">
        <v>1</v>
      </c>
      <c r="I350" s="31">
        <v>1.1479999999999999</v>
      </c>
      <c r="J350" s="223">
        <f t="shared" si="42"/>
        <v>2802000</v>
      </c>
      <c r="K350" s="32">
        <f t="shared" si="40"/>
        <v>2802000</v>
      </c>
      <c r="L350" s="252"/>
      <c r="M350" s="261">
        <f t="shared" si="41"/>
        <v>0</v>
      </c>
    </row>
    <row r="351" spans="1:13" s="289" customFormat="1" ht="45" x14ac:dyDescent="0.3">
      <c r="A351" s="67"/>
      <c r="B351" s="68"/>
      <c r="C351" s="25" t="s">
        <v>1257</v>
      </c>
      <c r="D351" s="34" t="s">
        <v>66</v>
      </c>
      <c r="E351" s="27" t="s">
        <v>23</v>
      </c>
      <c r="F351" s="33">
        <f>12.2*0.15+(2.7*0.8)*2</f>
        <v>6.15</v>
      </c>
      <c r="G351" s="29">
        <v>339000</v>
      </c>
      <c r="H351" s="38">
        <v>1</v>
      </c>
      <c r="I351" s="31">
        <v>1.1479999999999999</v>
      </c>
      <c r="J351" s="223">
        <f t="shared" si="42"/>
        <v>2393000</v>
      </c>
      <c r="K351" s="32">
        <f t="shared" si="40"/>
        <v>2393000</v>
      </c>
      <c r="L351" s="252"/>
      <c r="M351" s="261">
        <f t="shared" si="41"/>
        <v>0</v>
      </c>
    </row>
    <row r="352" spans="1:13" s="289" customFormat="1" ht="45" x14ac:dyDescent="0.3">
      <c r="A352" s="67"/>
      <c r="B352" s="68"/>
      <c r="C352" s="25" t="s">
        <v>1258</v>
      </c>
      <c r="D352" s="42" t="s">
        <v>32</v>
      </c>
      <c r="E352" s="27" t="s">
        <v>23</v>
      </c>
      <c r="F352" s="33">
        <f>4.4*5.4</f>
        <v>23.760000000000005</v>
      </c>
      <c r="G352" s="29">
        <v>215000</v>
      </c>
      <c r="H352" s="30">
        <v>1</v>
      </c>
      <c r="I352" s="31">
        <v>1.1479999999999999</v>
      </c>
      <c r="J352" s="223">
        <f t="shared" si="42"/>
        <v>5864000</v>
      </c>
      <c r="K352" s="32">
        <f t="shared" si="40"/>
        <v>5864000</v>
      </c>
      <c r="L352" s="252"/>
      <c r="M352" s="261">
        <f t="shared" si="41"/>
        <v>0</v>
      </c>
    </row>
    <row r="353" spans="1:15" s="289" customFormat="1" ht="45" x14ac:dyDescent="0.3">
      <c r="A353" s="67"/>
      <c r="B353" s="68"/>
      <c r="C353" s="25" t="s">
        <v>184</v>
      </c>
      <c r="D353" s="62" t="s">
        <v>44</v>
      </c>
      <c r="E353" s="63" t="s">
        <v>45</v>
      </c>
      <c r="F353" s="33">
        <v>8</v>
      </c>
      <c r="G353" s="65">
        <v>28000</v>
      </c>
      <c r="H353" s="66">
        <v>1</v>
      </c>
      <c r="I353" s="31">
        <v>1.1479999999999999</v>
      </c>
      <c r="J353" s="223">
        <f t="shared" si="42"/>
        <v>257000</v>
      </c>
      <c r="K353" s="32">
        <f t="shared" si="40"/>
        <v>257000</v>
      </c>
      <c r="L353" s="252"/>
      <c r="M353" s="261">
        <f t="shared" si="41"/>
        <v>0</v>
      </c>
    </row>
    <row r="354" spans="1:15" s="289" customFormat="1" ht="45" x14ac:dyDescent="0.3">
      <c r="A354" s="67"/>
      <c r="B354" s="68"/>
      <c r="C354" s="25" t="s">
        <v>185</v>
      </c>
      <c r="D354" s="42" t="s">
        <v>47</v>
      </c>
      <c r="E354" s="63" t="s">
        <v>45</v>
      </c>
      <c r="F354" s="33">
        <v>8</v>
      </c>
      <c r="G354" s="46">
        <v>28000</v>
      </c>
      <c r="H354" s="66">
        <v>1</v>
      </c>
      <c r="I354" s="31">
        <v>1.1479999999999999</v>
      </c>
      <c r="J354" s="223">
        <f t="shared" si="42"/>
        <v>257000</v>
      </c>
      <c r="K354" s="32">
        <f t="shared" si="40"/>
        <v>257000</v>
      </c>
      <c r="L354" s="252"/>
      <c r="M354" s="261">
        <f t="shared" si="41"/>
        <v>0</v>
      </c>
    </row>
    <row r="355" spans="1:15" s="289" customFormat="1" ht="45" x14ac:dyDescent="0.3">
      <c r="A355" s="67"/>
      <c r="B355" s="68"/>
      <c r="C355" s="25" t="s">
        <v>694</v>
      </c>
      <c r="D355" s="34" t="s">
        <v>97</v>
      </c>
      <c r="E355" s="71" t="s">
        <v>98</v>
      </c>
      <c r="F355" s="33">
        <v>1</v>
      </c>
      <c r="G355" s="36">
        <v>226000</v>
      </c>
      <c r="H355" s="37">
        <v>1</v>
      </c>
      <c r="I355" s="31">
        <v>1.1479999999999999</v>
      </c>
      <c r="J355" s="223">
        <f t="shared" si="42"/>
        <v>259000</v>
      </c>
      <c r="K355" s="32">
        <f t="shared" si="40"/>
        <v>259000</v>
      </c>
      <c r="L355" s="252"/>
      <c r="M355" s="261">
        <f t="shared" si="41"/>
        <v>0</v>
      </c>
    </row>
    <row r="356" spans="1:15" s="289" customFormat="1" ht="75" x14ac:dyDescent="0.3">
      <c r="A356" s="67"/>
      <c r="B356" s="68"/>
      <c r="C356" s="25" t="s">
        <v>1259</v>
      </c>
      <c r="D356" s="81" t="s">
        <v>63</v>
      </c>
      <c r="E356" s="27" t="s">
        <v>23</v>
      </c>
      <c r="F356" s="33">
        <f>5.36*8</f>
        <v>42.88</v>
      </c>
      <c r="G356" s="49">
        <v>2975000</v>
      </c>
      <c r="H356" s="37">
        <v>1</v>
      </c>
      <c r="I356" s="31">
        <v>1.1479999999999999</v>
      </c>
      <c r="J356" s="223">
        <f>ROUND(F356*G356*H356*I356,-3)</f>
        <v>146448000</v>
      </c>
      <c r="K356" s="32">
        <f t="shared" si="40"/>
        <v>146448000</v>
      </c>
      <c r="L356" s="252"/>
      <c r="M356" s="261">
        <f t="shared" si="41"/>
        <v>0</v>
      </c>
    </row>
    <row r="357" spans="1:15" s="289" customFormat="1" ht="45" x14ac:dyDescent="0.3">
      <c r="A357" s="67"/>
      <c r="B357" s="68"/>
      <c r="C357" s="25" t="s">
        <v>1260</v>
      </c>
      <c r="D357" s="34" t="s">
        <v>66</v>
      </c>
      <c r="E357" s="27" t="s">
        <v>23</v>
      </c>
      <c r="F357" s="33">
        <f>5.35*0.1</f>
        <v>0.53500000000000003</v>
      </c>
      <c r="G357" s="29">
        <v>339000</v>
      </c>
      <c r="H357" s="38">
        <v>1</v>
      </c>
      <c r="I357" s="31">
        <v>1.1479999999999999</v>
      </c>
      <c r="J357" s="223">
        <f>ROUND(F357*G357*H357*I357,-3)</f>
        <v>208000</v>
      </c>
      <c r="K357" s="32">
        <f t="shared" si="40"/>
        <v>208000</v>
      </c>
      <c r="L357" s="252"/>
      <c r="M357" s="261">
        <f t="shared" si="41"/>
        <v>0</v>
      </c>
    </row>
    <row r="358" spans="1:15" s="289" customFormat="1" ht="45" x14ac:dyDescent="0.3">
      <c r="A358" s="67"/>
      <c r="B358" s="68"/>
      <c r="C358" s="25" t="s">
        <v>1261</v>
      </c>
      <c r="D358" s="42" t="s">
        <v>32</v>
      </c>
      <c r="E358" s="27" t="s">
        <v>23</v>
      </c>
      <c r="F358" s="33">
        <f>5.35*6.8</f>
        <v>36.379999999999995</v>
      </c>
      <c r="G358" s="29">
        <v>215000</v>
      </c>
      <c r="H358" s="30">
        <v>1</v>
      </c>
      <c r="I358" s="31">
        <v>1.1479999999999999</v>
      </c>
      <c r="J358" s="223">
        <f>ROUND(F358*G358*H358*I358,-3)</f>
        <v>8979000</v>
      </c>
      <c r="K358" s="32">
        <f t="shared" si="40"/>
        <v>8979000</v>
      </c>
      <c r="L358" s="252"/>
      <c r="M358" s="261">
        <f t="shared" si="41"/>
        <v>0</v>
      </c>
    </row>
    <row r="359" spans="1:15" s="233" customFormat="1" ht="75" customHeight="1" x14ac:dyDescent="0.3">
      <c r="A359" s="236"/>
      <c r="B359" s="236"/>
      <c r="C359" s="489" t="s">
        <v>1034</v>
      </c>
      <c r="D359" s="490"/>
      <c r="E359" s="490"/>
      <c r="F359" s="490"/>
      <c r="G359" s="490"/>
      <c r="H359" s="490"/>
      <c r="I359" s="491"/>
      <c r="J359" s="246">
        <f>ROUND(SUM(J27:J358)/2,-3)</f>
        <v>9275003000</v>
      </c>
      <c r="K359" s="247">
        <f>SUM(K27:K272)</f>
        <v>3581055000</v>
      </c>
      <c r="L359" s="244"/>
      <c r="N359" s="234"/>
      <c r="O359" s="235"/>
    </row>
    <row r="360" spans="1:15" s="289" customFormat="1" ht="43.5" customHeight="1" x14ac:dyDescent="0.3">
      <c r="A360" s="489" t="s">
        <v>1160</v>
      </c>
      <c r="B360" s="490"/>
      <c r="C360" s="490"/>
      <c r="D360" s="490"/>
      <c r="E360" s="490"/>
      <c r="F360" s="490"/>
      <c r="G360" s="490"/>
      <c r="H360" s="490"/>
      <c r="I360" s="490"/>
      <c r="J360" s="491"/>
      <c r="K360" s="231"/>
      <c r="L360" s="2"/>
    </row>
    <row r="361" spans="1:15" s="289" customFormat="1" ht="75" customHeight="1" x14ac:dyDescent="0.3">
      <c r="F361" s="188"/>
      <c r="J361" s="238"/>
      <c r="L361" s="252"/>
    </row>
    <row r="362" spans="1:15" s="289" customFormat="1" ht="75" customHeight="1" x14ac:dyDescent="0.3">
      <c r="F362" s="188"/>
      <c r="L362" s="252"/>
    </row>
    <row r="363" spans="1:15" s="289" customFormat="1" ht="75" customHeight="1" x14ac:dyDescent="0.3">
      <c r="F363" s="188"/>
      <c r="L363" s="252"/>
    </row>
    <row r="364" spans="1:15" s="289" customFormat="1" ht="75" customHeight="1" x14ac:dyDescent="0.3">
      <c r="F364" s="188"/>
      <c r="L364" s="252"/>
    </row>
    <row r="365" spans="1:15" s="289" customFormat="1" ht="75" customHeight="1" x14ac:dyDescent="0.3">
      <c r="F365" s="188"/>
      <c r="L365" s="252"/>
    </row>
    <row r="366" spans="1:15" s="289" customFormat="1" ht="75" customHeight="1" x14ac:dyDescent="0.3">
      <c r="F366" s="188"/>
      <c r="L366" s="252"/>
    </row>
    <row r="367" spans="1:15" s="289" customFormat="1" ht="75" customHeight="1" x14ac:dyDescent="0.3">
      <c r="F367" s="188"/>
      <c r="L367" s="252"/>
    </row>
    <row r="368" spans="1:15" x14ac:dyDescent="0.3">
      <c r="K368"/>
    </row>
    <row r="369" spans="11:11" x14ac:dyDescent="0.3">
      <c r="K369"/>
    </row>
    <row r="370" spans="11:11" x14ac:dyDescent="0.3">
      <c r="K370"/>
    </row>
    <row r="371" spans="11:11" x14ac:dyDescent="0.3">
      <c r="K371"/>
    </row>
    <row r="372" spans="11:11" x14ac:dyDescent="0.3">
      <c r="K372"/>
    </row>
    <row r="373" spans="11:11" x14ac:dyDescent="0.3">
      <c r="K373"/>
    </row>
    <row r="374" spans="11:11" x14ac:dyDescent="0.3">
      <c r="K374"/>
    </row>
    <row r="375" spans="11:11" x14ac:dyDescent="0.3">
      <c r="K375"/>
    </row>
    <row r="376" spans="11:11" x14ac:dyDescent="0.3">
      <c r="K376"/>
    </row>
    <row r="377" spans="11:11" x14ac:dyDescent="0.3">
      <c r="K377"/>
    </row>
    <row r="378" spans="11:11" x14ac:dyDescent="0.3">
      <c r="K378"/>
    </row>
    <row r="379" spans="11:11" x14ac:dyDescent="0.3">
      <c r="K379"/>
    </row>
    <row r="380" spans="11:11" x14ac:dyDescent="0.3">
      <c r="K380"/>
    </row>
    <row r="381" spans="11:11" x14ac:dyDescent="0.3">
      <c r="K381"/>
    </row>
    <row r="382" spans="11:11" x14ac:dyDescent="0.3">
      <c r="K382"/>
    </row>
    <row r="383" spans="11:11" x14ac:dyDescent="0.3">
      <c r="K383"/>
    </row>
    <row r="384" spans="11:11" x14ac:dyDescent="0.3">
      <c r="K384"/>
    </row>
    <row r="385" spans="11:11" x14ac:dyDescent="0.3">
      <c r="K385"/>
    </row>
    <row r="386" spans="11:11" x14ac:dyDescent="0.3">
      <c r="K386"/>
    </row>
    <row r="387" spans="11:11" x14ac:dyDescent="0.3">
      <c r="K387"/>
    </row>
    <row r="388" spans="11:11" x14ac:dyDescent="0.3">
      <c r="K388"/>
    </row>
    <row r="389" spans="11:11" x14ac:dyDescent="0.3">
      <c r="K389"/>
    </row>
    <row r="390" spans="11:11" x14ac:dyDescent="0.3">
      <c r="K390"/>
    </row>
    <row r="391" spans="11:11" x14ac:dyDescent="0.3">
      <c r="K391"/>
    </row>
    <row r="392" spans="11:11" x14ac:dyDescent="0.3">
      <c r="K392"/>
    </row>
    <row r="393" spans="11:11" x14ac:dyDescent="0.3">
      <c r="K393"/>
    </row>
    <row r="394" spans="11:11" x14ac:dyDescent="0.3">
      <c r="K394"/>
    </row>
    <row r="395" spans="11:11" x14ac:dyDescent="0.3">
      <c r="K395"/>
    </row>
    <row r="396" spans="11:11" x14ac:dyDescent="0.3">
      <c r="K396"/>
    </row>
    <row r="397" spans="11:11" x14ac:dyDescent="0.3">
      <c r="K397"/>
    </row>
    <row r="398" spans="11:11" x14ac:dyDescent="0.3">
      <c r="K398"/>
    </row>
    <row r="399" spans="11:11" x14ac:dyDescent="0.3">
      <c r="K399"/>
    </row>
    <row r="400" spans="11:11" x14ac:dyDescent="0.3">
      <c r="K400"/>
    </row>
    <row r="401" spans="11:11" x14ac:dyDescent="0.3">
      <c r="K401"/>
    </row>
    <row r="402" spans="11:11" x14ac:dyDescent="0.3">
      <c r="K402"/>
    </row>
    <row r="403" spans="11:11" x14ac:dyDescent="0.3">
      <c r="K403"/>
    </row>
    <row r="404" spans="11:11" x14ac:dyDescent="0.3">
      <c r="K404"/>
    </row>
    <row r="405" spans="11:11" x14ac:dyDescent="0.3">
      <c r="K405"/>
    </row>
    <row r="406" spans="11:11" x14ac:dyDescent="0.3">
      <c r="K406"/>
    </row>
    <row r="407" spans="11:11" x14ac:dyDescent="0.3">
      <c r="K407"/>
    </row>
    <row r="408" spans="11:11" x14ac:dyDescent="0.3">
      <c r="K408"/>
    </row>
    <row r="409" spans="11:11" x14ac:dyDescent="0.3">
      <c r="K409"/>
    </row>
    <row r="410" spans="11:11" x14ac:dyDescent="0.3">
      <c r="K410"/>
    </row>
    <row r="411" spans="11:11" x14ac:dyDescent="0.3">
      <c r="K411"/>
    </row>
    <row r="412" spans="11:11" x14ac:dyDescent="0.3">
      <c r="K412"/>
    </row>
    <row r="413" spans="11:11" x14ac:dyDescent="0.3">
      <c r="K413"/>
    </row>
    <row r="414" spans="11:11" x14ac:dyDescent="0.3">
      <c r="K414"/>
    </row>
    <row r="415" spans="11:11" x14ac:dyDescent="0.3">
      <c r="K415"/>
    </row>
    <row r="416" spans="11:11" x14ac:dyDescent="0.3">
      <c r="K416"/>
    </row>
    <row r="417" spans="11:11" x14ac:dyDescent="0.3">
      <c r="K417"/>
    </row>
    <row r="418" spans="11:11" x14ac:dyDescent="0.3">
      <c r="K418"/>
    </row>
    <row r="419" spans="11:11" x14ac:dyDescent="0.3">
      <c r="K419"/>
    </row>
    <row r="420" spans="11:11" x14ac:dyDescent="0.3">
      <c r="K420"/>
    </row>
    <row r="421" spans="11:11" x14ac:dyDescent="0.3">
      <c r="K421"/>
    </row>
    <row r="422" spans="11:11" x14ac:dyDescent="0.3">
      <c r="K422"/>
    </row>
    <row r="423" spans="11:11" x14ac:dyDescent="0.3">
      <c r="K423"/>
    </row>
    <row r="424" spans="11:11" x14ac:dyDescent="0.3">
      <c r="K424"/>
    </row>
    <row r="425" spans="11:11" x14ac:dyDescent="0.3">
      <c r="K425"/>
    </row>
    <row r="426" spans="11:11" x14ac:dyDescent="0.3">
      <c r="K426"/>
    </row>
    <row r="427" spans="11:11" x14ac:dyDescent="0.3">
      <c r="K427"/>
    </row>
    <row r="428" spans="11:11" x14ac:dyDescent="0.3">
      <c r="K428"/>
    </row>
    <row r="429" spans="11:11" x14ac:dyDescent="0.3">
      <c r="K429"/>
    </row>
    <row r="430" spans="11:11" x14ac:dyDescent="0.3">
      <c r="K430"/>
    </row>
    <row r="431" spans="11:11" x14ac:dyDescent="0.3">
      <c r="K431"/>
    </row>
    <row r="432" spans="11:11" x14ac:dyDescent="0.3">
      <c r="K432"/>
    </row>
    <row r="433" spans="11:11" x14ac:dyDescent="0.3">
      <c r="K433"/>
    </row>
    <row r="434" spans="11:11" x14ac:dyDescent="0.3">
      <c r="K434"/>
    </row>
    <row r="435" spans="11:11" x14ac:dyDescent="0.3">
      <c r="K435"/>
    </row>
    <row r="436" spans="11:11" x14ac:dyDescent="0.3">
      <c r="K436"/>
    </row>
    <row r="437" spans="11:11" x14ac:dyDescent="0.3">
      <c r="K437"/>
    </row>
    <row r="438" spans="11:11" x14ac:dyDescent="0.3">
      <c r="K438"/>
    </row>
    <row r="439" spans="11:11" x14ac:dyDescent="0.3">
      <c r="K439"/>
    </row>
    <row r="440" spans="11:11" x14ac:dyDescent="0.3">
      <c r="K440"/>
    </row>
    <row r="441" spans="11:11" x14ac:dyDescent="0.3">
      <c r="K441"/>
    </row>
    <row r="442" spans="11:11" x14ac:dyDescent="0.3">
      <c r="K442"/>
    </row>
    <row r="443" spans="11:11" x14ac:dyDescent="0.3">
      <c r="K443"/>
    </row>
    <row r="444" spans="11:11" x14ac:dyDescent="0.3">
      <c r="K444"/>
    </row>
    <row r="445" spans="11:11" x14ac:dyDescent="0.3">
      <c r="K445"/>
    </row>
    <row r="446" spans="11:11" x14ac:dyDescent="0.3">
      <c r="K446"/>
    </row>
    <row r="447" spans="11:11" x14ac:dyDescent="0.3">
      <c r="K447"/>
    </row>
    <row r="448" spans="11:11" x14ac:dyDescent="0.3">
      <c r="K448"/>
    </row>
    <row r="449" spans="11:11" x14ac:dyDescent="0.3">
      <c r="K449"/>
    </row>
    <row r="450" spans="11:11" x14ac:dyDescent="0.3">
      <c r="K450"/>
    </row>
    <row r="451" spans="11:11" x14ac:dyDescent="0.3">
      <c r="K451"/>
    </row>
    <row r="452" spans="11:11" x14ac:dyDescent="0.3">
      <c r="K452"/>
    </row>
    <row r="453" spans="11:11" x14ac:dyDescent="0.3">
      <c r="K453"/>
    </row>
    <row r="454" spans="11:11" x14ac:dyDescent="0.3">
      <c r="K454"/>
    </row>
    <row r="455" spans="11:11" x14ac:dyDescent="0.3">
      <c r="K455"/>
    </row>
    <row r="456" spans="11:11" x14ac:dyDescent="0.3">
      <c r="K456"/>
    </row>
    <row r="457" spans="11:11" x14ac:dyDescent="0.3">
      <c r="K457"/>
    </row>
    <row r="458" spans="11:11" x14ac:dyDescent="0.3">
      <c r="K458"/>
    </row>
    <row r="459" spans="11:11" x14ac:dyDescent="0.3">
      <c r="K459"/>
    </row>
    <row r="460" spans="11:11" x14ac:dyDescent="0.3">
      <c r="K460"/>
    </row>
    <row r="461" spans="11:11" x14ac:dyDescent="0.3">
      <c r="K461"/>
    </row>
    <row r="462" spans="11:11" x14ac:dyDescent="0.3">
      <c r="K462"/>
    </row>
    <row r="463" spans="11:11" x14ac:dyDescent="0.3">
      <c r="K463"/>
    </row>
    <row r="464" spans="11:11" x14ac:dyDescent="0.3">
      <c r="K464"/>
    </row>
    <row r="465" spans="11:11" x14ac:dyDescent="0.3">
      <c r="K465"/>
    </row>
    <row r="466" spans="11:11" x14ac:dyDescent="0.3">
      <c r="K466"/>
    </row>
    <row r="467" spans="11:11" x14ac:dyDescent="0.3">
      <c r="K467"/>
    </row>
    <row r="468" spans="11:11" x14ac:dyDescent="0.3">
      <c r="K468"/>
    </row>
    <row r="469" spans="11:11" x14ac:dyDescent="0.3">
      <c r="K469"/>
    </row>
    <row r="470" spans="11:11" x14ac:dyDescent="0.3">
      <c r="K470"/>
    </row>
    <row r="471" spans="11:11" x14ac:dyDescent="0.3">
      <c r="K471"/>
    </row>
    <row r="472" spans="11:11" x14ac:dyDescent="0.3">
      <c r="K472"/>
    </row>
    <row r="473" spans="11:11" x14ac:dyDescent="0.3">
      <c r="K473"/>
    </row>
    <row r="474" spans="11:11" x14ac:dyDescent="0.3">
      <c r="K474"/>
    </row>
    <row r="475" spans="11:11" x14ac:dyDescent="0.3">
      <c r="K475"/>
    </row>
    <row r="476" spans="11:11" x14ac:dyDescent="0.3">
      <c r="K476"/>
    </row>
    <row r="477" spans="11:11" x14ac:dyDescent="0.3">
      <c r="K477"/>
    </row>
    <row r="478" spans="11:11" x14ac:dyDescent="0.3">
      <c r="K478"/>
    </row>
    <row r="479" spans="11:11" x14ac:dyDescent="0.3">
      <c r="K479"/>
    </row>
    <row r="480" spans="11:11" x14ac:dyDescent="0.3">
      <c r="K480"/>
    </row>
    <row r="481" spans="11:11" x14ac:dyDescent="0.3">
      <c r="K481"/>
    </row>
    <row r="482" spans="11:11" x14ac:dyDescent="0.3">
      <c r="K482"/>
    </row>
    <row r="483" spans="11:11" x14ac:dyDescent="0.3">
      <c r="K483"/>
    </row>
    <row r="484" spans="11:11" x14ac:dyDescent="0.3">
      <c r="K484"/>
    </row>
    <row r="485" spans="11:11" x14ac:dyDescent="0.3">
      <c r="K485"/>
    </row>
    <row r="486" spans="11:11" x14ac:dyDescent="0.3">
      <c r="K486"/>
    </row>
    <row r="487" spans="11:11" x14ac:dyDescent="0.3">
      <c r="K487"/>
    </row>
    <row r="488" spans="11:11" x14ac:dyDescent="0.3">
      <c r="K488"/>
    </row>
    <row r="489" spans="11:11" x14ac:dyDescent="0.3">
      <c r="K489"/>
    </row>
    <row r="490" spans="11:11" x14ac:dyDescent="0.3">
      <c r="K490"/>
    </row>
    <row r="491" spans="11:11" x14ac:dyDescent="0.3">
      <c r="K491"/>
    </row>
    <row r="492" spans="11:11" x14ac:dyDescent="0.3">
      <c r="K492"/>
    </row>
    <row r="493" spans="11:11" x14ac:dyDescent="0.3">
      <c r="K493"/>
    </row>
    <row r="494" spans="11:11" x14ac:dyDescent="0.3">
      <c r="K494"/>
    </row>
    <row r="495" spans="11:11" x14ac:dyDescent="0.3">
      <c r="K495"/>
    </row>
    <row r="496" spans="11:11" x14ac:dyDescent="0.3">
      <c r="K496"/>
    </row>
    <row r="497" spans="11:11" x14ac:dyDescent="0.3">
      <c r="K497"/>
    </row>
    <row r="498" spans="11:11" x14ac:dyDescent="0.3">
      <c r="K498"/>
    </row>
    <row r="499" spans="11:11" x14ac:dyDescent="0.3">
      <c r="K499"/>
    </row>
    <row r="500" spans="11:11" x14ac:dyDescent="0.3">
      <c r="K500"/>
    </row>
    <row r="501" spans="11:11" x14ac:dyDescent="0.3">
      <c r="K501"/>
    </row>
    <row r="502" spans="11:11" x14ac:dyDescent="0.3">
      <c r="K502"/>
    </row>
    <row r="503" spans="11:11" x14ac:dyDescent="0.3">
      <c r="K503"/>
    </row>
    <row r="504" spans="11:11" x14ac:dyDescent="0.3">
      <c r="K504"/>
    </row>
    <row r="505" spans="11:11" x14ac:dyDescent="0.3">
      <c r="K505"/>
    </row>
    <row r="506" spans="11:11" x14ac:dyDescent="0.3">
      <c r="K506"/>
    </row>
    <row r="507" spans="11:11" x14ac:dyDescent="0.3">
      <c r="K507"/>
    </row>
    <row r="508" spans="11:11" x14ac:dyDescent="0.3">
      <c r="K508"/>
    </row>
    <row r="509" spans="11:11" x14ac:dyDescent="0.3">
      <c r="K509"/>
    </row>
    <row r="510" spans="11:11" x14ac:dyDescent="0.3">
      <c r="K510"/>
    </row>
    <row r="511" spans="11:11" x14ac:dyDescent="0.3">
      <c r="K511"/>
    </row>
    <row r="512" spans="11:11" x14ac:dyDescent="0.3">
      <c r="K512"/>
    </row>
    <row r="513" spans="11:11" x14ac:dyDescent="0.3">
      <c r="K513"/>
    </row>
    <row r="514" spans="11:11" x14ac:dyDescent="0.3">
      <c r="K514"/>
    </row>
    <row r="515" spans="11:11" x14ac:dyDescent="0.3">
      <c r="K515"/>
    </row>
    <row r="516" spans="11:11" x14ac:dyDescent="0.3">
      <c r="K516"/>
    </row>
    <row r="517" spans="11:11" x14ac:dyDescent="0.3">
      <c r="K517"/>
    </row>
    <row r="518" spans="11:11" x14ac:dyDescent="0.3">
      <c r="K518"/>
    </row>
    <row r="519" spans="11:11" x14ac:dyDescent="0.3">
      <c r="K519"/>
    </row>
    <row r="520" spans="11:11" x14ac:dyDescent="0.3">
      <c r="K520"/>
    </row>
    <row r="521" spans="11:11" x14ac:dyDescent="0.3">
      <c r="K521"/>
    </row>
    <row r="522" spans="11:11" x14ac:dyDescent="0.3">
      <c r="K522"/>
    </row>
    <row r="523" spans="11:11" x14ac:dyDescent="0.3">
      <c r="K523"/>
    </row>
    <row r="524" spans="11:11" x14ac:dyDescent="0.3">
      <c r="K524"/>
    </row>
    <row r="525" spans="11:11" x14ac:dyDescent="0.3">
      <c r="K525"/>
    </row>
    <row r="526" spans="11:11" x14ac:dyDescent="0.3">
      <c r="K526"/>
    </row>
    <row r="527" spans="11:11" x14ac:dyDescent="0.3">
      <c r="K527"/>
    </row>
    <row r="528" spans="11:11" x14ac:dyDescent="0.3">
      <c r="K528"/>
    </row>
    <row r="529" spans="11:11" x14ac:dyDescent="0.3">
      <c r="K529"/>
    </row>
    <row r="530" spans="11:11" x14ac:dyDescent="0.3">
      <c r="K530"/>
    </row>
    <row r="531" spans="11:11" x14ac:dyDescent="0.3">
      <c r="K531"/>
    </row>
    <row r="532" spans="11:11" x14ac:dyDescent="0.3">
      <c r="K532"/>
    </row>
    <row r="533" spans="11:11" x14ac:dyDescent="0.3">
      <c r="K533"/>
    </row>
    <row r="534" spans="11:11" x14ac:dyDescent="0.3">
      <c r="K534"/>
    </row>
    <row r="535" spans="11:11" x14ac:dyDescent="0.3">
      <c r="K535"/>
    </row>
    <row r="536" spans="11:11" x14ac:dyDescent="0.3">
      <c r="K536"/>
    </row>
    <row r="537" spans="11:11" x14ac:dyDescent="0.3">
      <c r="K537"/>
    </row>
    <row r="538" spans="11:11" x14ac:dyDescent="0.3">
      <c r="K538"/>
    </row>
    <row r="539" spans="11:11" x14ac:dyDescent="0.3">
      <c r="K539"/>
    </row>
    <row r="540" spans="11:11" x14ac:dyDescent="0.3">
      <c r="K540"/>
    </row>
    <row r="541" spans="11:11" x14ac:dyDescent="0.3">
      <c r="K541"/>
    </row>
    <row r="542" spans="11:11" x14ac:dyDescent="0.3">
      <c r="K542"/>
    </row>
    <row r="543" spans="11:11" x14ac:dyDescent="0.3">
      <c r="K543"/>
    </row>
    <row r="544" spans="11:11" x14ac:dyDescent="0.3">
      <c r="K544"/>
    </row>
    <row r="545" spans="11:11" x14ac:dyDescent="0.3">
      <c r="K545"/>
    </row>
    <row r="546" spans="11:11" x14ac:dyDescent="0.3">
      <c r="K546"/>
    </row>
    <row r="547" spans="11:11" x14ac:dyDescent="0.3">
      <c r="K547"/>
    </row>
    <row r="548" spans="11:11" x14ac:dyDescent="0.3">
      <c r="K548"/>
    </row>
    <row r="549" spans="11:11" x14ac:dyDescent="0.3">
      <c r="K549"/>
    </row>
    <row r="550" spans="11:11" x14ac:dyDescent="0.3">
      <c r="K550"/>
    </row>
    <row r="551" spans="11:11" x14ac:dyDescent="0.3">
      <c r="K551"/>
    </row>
    <row r="552" spans="11:11" x14ac:dyDescent="0.3">
      <c r="K552"/>
    </row>
    <row r="553" spans="11:11" x14ac:dyDescent="0.3">
      <c r="K553"/>
    </row>
    <row r="554" spans="11:11" x14ac:dyDescent="0.3">
      <c r="K554"/>
    </row>
    <row r="555" spans="11:11" x14ac:dyDescent="0.3">
      <c r="K555"/>
    </row>
    <row r="556" spans="11:11" x14ac:dyDescent="0.3">
      <c r="K556"/>
    </row>
    <row r="557" spans="11:11" x14ac:dyDescent="0.3">
      <c r="K557"/>
    </row>
    <row r="558" spans="11:11" x14ac:dyDescent="0.3">
      <c r="K558"/>
    </row>
    <row r="559" spans="11:11" x14ac:dyDescent="0.3">
      <c r="K559"/>
    </row>
    <row r="560" spans="11:11" x14ac:dyDescent="0.3">
      <c r="K560"/>
    </row>
    <row r="561" spans="11:11" x14ac:dyDescent="0.3">
      <c r="K561"/>
    </row>
    <row r="562" spans="11:11" x14ac:dyDescent="0.3">
      <c r="K562"/>
    </row>
    <row r="563" spans="11:11" x14ac:dyDescent="0.3">
      <c r="K563"/>
    </row>
    <row r="564" spans="11:11" x14ac:dyDescent="0.3">
      <c r="K564"/>
    </row>
    <row r="565" spans="11:11" x14ac:dyDescent="0.3">
      <c r="K565"/>
    </row>
    <row r="566" spans="11:11" x14ac:dyDescent="0.3">
      <c r="K566"/>
    </row>
    <row r="567" spans="11:11" x14ac:dyDescent="0.3">
      <c r="K567"/>
    </row>
    <row r="568" spans="11:11" x14ac:dyDescent="0.3">
      <c r="K568"/>
    </row>
    <row r="569" spans="11:11" x14ac:dyDescent="0.3">
      <c r="K569"/>
    </row>
    <row r="570" spans="11:11" x14ac:dyDescent="0.3">
      <c r="K570"/>
    </row>
    <row r="571" spans="11:11" x14ac:dyDescent="0.3">
      <c r="K571"/>
    </row>
    <row r="572" spans="11:11" x14ac:dyDescent="0.3">
      <c r="K572"/>
    </row>
    <row r="573" spans="11:11" x14ac:dyDescent="0.3">
      <c r="K573"/>
    </row>
    <row r="574" spans="11:11" x14ac:dyDescent="0.3">
      <c r="K574"/>
    </row>
    <row r="575" spans="11:11" x14ac:dyDescent="0.3">
      <c r="K575"/>
    </row>
    <row r="576" spans="11:11" x14ac:dyDescent="0.3">
      <c r="K576"/>
    </row>
    <row r="577" spans="11:11" x14ac:dyDescent="0.3">
      <c r="K577"/>
    </row>
    <row r="578" spans="11:11" x14ac:dyDescent="0.3">
      <c r="K578"/>
    </row>
    <row r="579" spans="11:11" x14ac:dyDescent="0.3">
      <c r="K579"/>
    </row>
    <row r="580" spans="11:11" x14ac:dyDescent="0.3">
      <c r="K580"/>
    </row>
    <row r="581" spans="11:11" x14ac:dyDescent="0.3">
      <c r="K581"/>
    </row>
    <row r="582" spans="11:11" x14ac:dyDescent="0.3">
      <c r="K582"/>
    </row>
    <row r="583" spans="11:11" x14ac:dyDescent="0.3">
      <c r="K583"/>
    </row>
    <row r="584" spans="11:11" x14ac:dyDescent="0.3">
      <c r="K584"/>
    </row>
    <row r="585" spans="11:11" x14ac:dyDescent="0.3">
      <c r="K585"/>
    </row>
    <row r="586" spans="11:11" x14ac:dyDescent="0.3">
      <c r="K586"/>
    </row>
    <row r="587" spans="11:11" x14ac:dyDescent="0.3">
      <c r="K587"/>
    </row>
    <row r="588" spans="11:11" x14ac:dyDescent="0.3">
      <c r="K588"/>
    </row>
    <row r="589" spans="11:11" x14ac:dyDescent="0.3">
      <c r="K589"/>
    </row>
    <row r="590" spans="11:11" x14ac:dyDescent="0.3">
      <c r="K590"/>
    </row>
    <row r="591" spans="11:11" x14ac:dyDescent="0.3">
      <c r="K591"/>
    </row>
    <row r="592" spans="11:11" x14ac:dyDescent="0.3">
      <c r="K592"/>
    </row>
    <row r="593" spans="11:11" x14ac:dyDescent="0.3">
      <c r="K593"/>
    </row>
    <row r="594" spans="11:11" x14ac:dyDescent="0.3">
      <c r="K594"/>
    </row>
    <row r="595" spans="11:11" x14ac:dyDescent="0.3">
      <c r="K595"/>
    </row>
    <row r="596" spans="11:11" x14ac:dyDescent="0.3">
      <c r="K596"/>
    </row>
    <row r="597" spans="11:11" x14ac:dyDescent="0.3">
      <c r="K597"/>
    </row>
    <row r="598" spans="11:11" x14ac:dyDescent="0.3">
      <c r="K598"/>
    </row>
    <row r="599" spans="11:11" x14ac:dyDescent="0.3">
      <c r="K599"/>
    </row>
    <row r="600" spans="11:11" x14ac:dyDescent="0.3">
      <c r="K600"/>
    </row>
    <row r="601" spans="11:11" x14ac:dyDescent="0.3">
      <c r="K601"/>
    </row>
    <row r="602" spans="11:11" x14ac:dyDescent="0.3">
      <c r="K602"/>
    </row>
    <row r="603" spans="11:11" x14ac:dyDescent="0.3">
      <c r="K603"/>
    </row>
    <row r="604" spans="11:11" x14ac:dyDescent="0.3">
      <c r="K604"/>
    </row>
    <row r="605" spans="11:11" x14ac:dyDescent="0.3">
      <c r="K605"/>
    </row>
    <row r="606" spans="11:11" x14ac:dyDescent="0.3">
      <c r="K606"/>
    </row>
    <row r="607" spans="11:11" x14ac:dyDescent="0.3">
      <c r="K607"/>
    </row>
    <row r="608" spans="11:11" x14ac:dyDescent="0.3">
      <c r="K608"/>
    </row>
    <row r="609" spans="11:11" x14ac:dyDescent="0.3">
      <c r="K609"/>
    </row>
    <row r="610" spans="11:11" x14ac:dyDescent="0.3">
      <c r="K610"/>
    </row>
    <row r="611" spans="11:11" x14ac:dyDescent="0.3">
      <c r="K611"/>
    </row>
    <row r="612" spans="11:11" x14ac:dyDescent="0.3">
      <c r="K612"/>
    </row>
    <row r="613" spans="11:11" x14ac:dyDescent="0.3">
      <c r="K613"/>
    </row>
    <row r="614" spans="11:11" x14ac:dyDescent="0.3">
      <c r="K614"/>
    </row>
    <row r="615" spans="11:11" x14ac:dyDescent="0.3">
      <c r="K615"/>
    </row>
    <row r="616" spans="11:11" x14ac:dyDescent="0.3">
      <c r="K616"/>
    </row>
    <row r="617" spans="11:11" x14ac:dyDescent="0.3">
      <c r="K617"/>
    </row>
    <row r="618" spans="11:11" x14ac:dyDescent="0.3">
      <c r="K618"/>
    </row>
    <row r="619" spans="11:11" x14ac:dyDescent="0.3">
      <c r="K619"/>
    </row>
    <row r="620" spans="11:11" x14ac:dyDescent="0.3">
      <c r="K620"/>
    </row>
    <row r="621" spans="11:11" x14ac:dyDescent="0.3">
      <c r="K621"/>
    </row>
    <row r="622" spans="11:11" x14ac:dyDescent="0.3">
      <c r="K622"/>
    </row>
    <row r="623" spans="11:11" x14ac:dyDescent="0.3">
      <c r="K623"/>
    </row>
    <row r="624" spans="11:11" x14ac:dyDescent="0.3">
      <c r="K624"/>
    </row>
    <row r="625" spans="11:11" x14ac:dyDescent="0.3">
      <c r="K625"/>
    </row>
    <row r="626" spans="11:11" x14ac:dyDescent="0.3">
      <c r="K626"/>
    </row>
    <row r="627" spans="11:11" x14ac:dyDescent="0.3">
      <c r="K627"/>
    </row>
    <row r="628" spans="11:11" x14ac:dyDescent="0.3">
      <c r="K628"/>
    </row>
    <row r="629" spans="11:11" x14ac:dyDescent="0.3">
      <c r="K629"/>
    </row>
    <row r="630" spans="11:11" x14ac:dyDescent="0.3">
      <c r="K630"/>
    </row>
    <row r="631" spans="11:11" x14ac:dyDescent="0.3">
      <c r="K631"/>
    </row>
    <row r="632" spans="11:11" x14ac:dyDescent="0.3">
      <c r="K632"/>
    </row>
    <row r="633" spans="11:11" x14ac:dyDescent="0.3">
      <c r="K633"/>
    </row>
    <row r="634" spans="11:11" x14ac:dyDescent="0.3">
      <c r="K634"/>
    </row>
    <row r="635" spans="11:11" x14ac:dyDescent="0.3">
      <c r="K635"/>
    </row>
    <row r="636" spans="11:11" x14ac:dyDescent="0.3">
      <c r="K636"/>
    </row>
    <row r="637" spans="11:11" x14ac:dyDescent="0.3">
      <c r="K637"/>
    </row>
    <row r="638" spans="11:11" x14ac:dyDescent="0.3">
      <c r="K638"/>
    </row>
    <row r="639" spans="11:11" x14ac:dyDescent="0.3">
      <c r="K639"/>
    </row>
    <row r="640" spans="11:11" x14ac:dyDescent="0.3">
      <c r="K640"/>
    </row>
    <row r="641" spans="11:11" x14ac:dyDescent="0.3">
      <c r="K641"/>
    </row>
    <row r="642" spans="11:11" x14ac:dyDescent="0.3">
      <c r="K642"/>
    </row>
    <row r="643" spans="11:11" x14ac:dyDescent="0.3">
      <c r="K643"/>
    </row>
    <row r="644" spans="11:11" x14ac:dyDescent="0.3">
      <c r="K644"/>
    </row>
    <row r="645" spans="11:11" x14ac:dyDescent="0.3">
      <c r="K645"/>
    </row>
    <row r="646" spans="11:11" x14ac:dyDescent="0.3">
      <c r="K646"/>
    </row>
    <row r="647" spans="11:11" x14ac:dyDescent="0.3">
      <c r="K647"/>
    </row>
    <row r="648" spans="11:11" x14ac:dyDescent="0.3">
      <c r="K648"/>
    </row>
    <row r="649" spans="11:11" x14ac:dyDescent="0.3">
      <c r="K649"/>
    </row>
    <row r="650" spans="11:11" x14ac:dyDescent="0.3">
      <c r="K650"/>
    </row>
    <row r="651" spans="11:11" x14ac:dyDescent="0.3">
      <c r="K651"/>
    </row>
    <row r="652" spans="11:11" x14ac:dyDescent="0.3">
      <c r="K652"/>
    </row>
    <row r="653" spans="11:11" x14ac:dyDescent="0.3">
      <c r="K653"/>
    </row>
    <row r="654" spans="11:11" x14ac:dyDescent="0.3">
      <c r="K654"/>
    </row>
    <row r="655" spans="11:11" x14ac:dyDescent="0.3">
      <c r="K655"/>
    </row>
    <row r="656" spans="11:11" x14ac:dyDescent="0.3">
      <c r="K656"/>
    </row>
    <row r="657" spans="11:11" x14ac:dyDescent="0.3">
      <c r="K657"/>
    </row>
    <row r="658" spans="11:11" x14ac:dyDescent="0.3">
      <c r="K658"/>
    </row>
    <row r="659" spans="11:11" x14ac:dyDescent="0.3">
      <c r="K659"/>
    </row>
    <row r="660" spans="11:11" x14ac:dyDescent="0.3">
      <c r="K660"/>
    </row>
    <row r="661" spans="11:11" x14ac:dyDescent="0.3">
      <c r="K661"/>
    </row>
    <row r="662" spans="11:11" x14ac:dyDescent="0.3">
      <c r="K662"/>
    </row>
    <row r="663" spans="11:11" x14ac:dyDescent="0.3">
      <c r="K663"/>
    </row>
    <row r="664" spans="11:11" x14ac:dyDescent="0.3">
      <c r="K664"/>
    </row>
    <row r="665" spans="11:11" x14ac:dyDescent="0.3">
      <c r="K665"/>
    </row>
    <row r="666" spans="11:11" x14ac:dyDescent="0.3">
      <c r="K666"/>
    </row>
    <row r="667" spans="11:11" x14ac:dyDescent="0.3">
      <c r="K667"/>
    </row>
    <row r="668" spans="11:11" x14ac:dyDescent="0.3">
      <c r="K668"/>
    </row>
    <row r="669" spans="11:11" x14ac:dyDescent="0.3">
      <c r="K669"/>
    </row>
    <row r="670" spans="11:11" x14ac:dyDescent="0.3">
      <c r="K670"/>
    </row>
    <row r="671" spans="11:11" x14ac:dyDescent="0.3">
      <c r="K671"/>
    </row>
    <row r="672" spans="11:11" x14ac:dyDescent="0.3">
      <c r="K672"/>
    </row>
    <row r="673" spans="11:11" x14ac:dyDescent="0.3">
      <c r="K673"/>
    </row>
    <row r="674" spans="11:11" x14ac:dyDescent="0.3">
      <c r="K674"/>
    </row>
    <row r="675" spans="11:11" x14ac:dyDescent="0.3">
      <c r="K675"/>
    </row>
    <row r="676" spans="11:11" x14ac:dyDescent="0.3">
      <c r="K676"/>
    </row>
    <row r="677" spans="11:11" x14ac:dyDescent="0.3">
      <c r="K677"/>
    </row>
    <row r="678" spans="11:11" x14ac:dyDescent="0.3">
      <c r="K678"/>
    </row>
    <row r="679" spans="11:11" x14ac:dyDescent="0.3">
      <c r="K679"/>
    </row>
    <row r="680" spans="11:11" x14ac:dyDescent="0.3">
      <c r="K680"/>
    </row>
    <row r="681" spans="11:11" x14ac:dyDescent="0.3">
      <c r="K681"/>
    </row>
    <row r="682" spans="11:11" x14ac:dyDescent="0.3">
      <c r="K682"/>
    </row>
    <row r="683" spans="11:11" x14ac:dyDescent="0.3">
      <c r="K683"/>
    </row>
    <row r="684" spans="11:11" x14ac:dyDescent="0.3">
      <c r="K684"/>
    </row>
    <row r="685" spans="11:11" x14ac:dyDescent="0.3">
      <c r="K685"/>
    </row>
    <row r="686" spans="11:11" x14ac:dyDescent="0.3">
      <c r="K686"/>
    </row>
    <row r="687" spans="11:11" x14ac:dyDescent="0.3">
      <c r="K687"/>
    </row>
    <row r="688" spans="11:11" x14ac:dyDescent="0.3">
      <c r="K688"/>
    </row>
    <row r="689" spans="11:11" x14ac:dyDescent="0.3">
      <c r="K689"/>
    </row>
    <row r="690" spans="11:11" x14ac:dyDescent="0.3">
      <c r="K690"/>
    </row>
    <row r="691" spans="11:11" x14ac:dyDescent="0.3">
      <c r="K691"/>
    </row>
    <row r="692" spans="11:11" x14ac:dyDescent="0.3">
      <c r="K692"/>
    </row>
    <row r="693" spans="11:11" x14ac:dyDescent="0.3">
      <c r="K693"/>
    </row>
    <row r="694" spans="11:11" x14ac:dyDescent="0.3">
      <c r="K694"/>
    </row>
    <row r="695" spans="11:11" x14ac:dyDescent="0.3">
      <c r="K695"/>
    </row>
    <row r="696" spans="11:11" x14ac:dyDescent="0.3">
      <c r="K696"/>
    </row>
    <row r="697" spans="11:11" x14ac:dyDescent="0.3">
      <c r="K697"/>
    </row>
    <row r="698" spans="11:11" x14ac:dyDescent="0.3">
      <c r="K698"/>
    </row>
    <row r="699" spans="11:11" x14ac:dyDescent="0.3">
      <c r="K699"/>
    </row>
    <row r="700" spans="11:11" x14ac:dyDescent="0.3">
      <c r="K700"/>
    </row>
    <row r="701" spans="11:11" x14ac:dyDescent="0.3">
      <c r="K701"/>
    </row>
    <row r="702" spans="11:11" x14ac:dyDescent="0.3">
      <c r="K702"/>
    </row>
    <row r="703" spans="11:11" x14ac:dyDescent="0.3">
      <c r="K703"/>
    </row>
    <row r="704" spans="11:11" x14ac:dyDescent="0.3">
      <c r="K704"/>
    </row>
    <row r="705" spans="11:11" x14ac:dyDescent="0.3">
      <c r="K705"/>
    </row>
    <row r="706" spans="11:11" x14ac:dyDescent="0.3">
      <c r="K706"/>
    </row>
    <row r="707" spans="11:11" x14ac:dyDescent="0.3">
      <c r="K707"/>
    </row>
    <row r="708" spans="11:11" x14ac:dyDescent="0.3">
      <c r="K708"/>
    </row>
    <row r="709" spans="11:11" x14ac:dyDescent="0.3">
      <c r="K709"/>
    </row>
    <row r="710" spans="11:11" x14ac:dyDescent="0.3">
      <c r="K710"/>
    </row>
    <row r="711" spans="11:11" x14ac:dyDescent="0.3">
      <c r="K711"/>
    </row>
    <row r="712" spans="11:11" x14ac:dyDescent="0.3">
      <c r="K712"/>
    </row>
    <row r="713" spans="11:11" x14ac:dyDescent="0.3">
      <c r="K713"/>
    </row>
    <row r="714" spans="11:11" x14ac:dyDescent="0.3">
      <c r="K714"/>
    </row>
    <row r="715" spans="11:11" x14ac:dyDescent="0.3">
      <c r="K715"/>
    </row>
    <row r="716" spans="11:11" x14ac:dyDescent="0.3">
      <c r="K716"/>
    </row>
    <row r="717" spans="11:11" x14ac:dyDescent="0.3">
      <c r="K717"/>
    </row>
    <row r="718" spans="11:11" x14ac:dyDescent="0.3">
      <c r="K718"/>
    </row>
    <row r="719" spans="11:11" x14ac:dyDescent="0.3">
      <c r="K719"/>
    </row>
    <row r="720" spans="11:11" x14ac:dyDescent="0.3">
      <c r="K720"/>
    </row>
    <row r="721" spans="11:11" x14ac:dyDescent="0.3">
      <c r="K721"/>
    </row>
    <row r="722" spans="11:11" x14ac:dyDescent="0.3">
      <c r="K722"/>
    </row>
    <row r="723" spans="11:11" x14ac:dyDescent="0.3">
      <c r="K723"/>
    </row>
    <row r="724" spans="11:11" x14ac:dyDescent="0.3">
      <c r="K724"/>
    </row>
    <row r="725" spans="11:11" x14ac:dyDescent="0.3">
      <c r="K725"/>
    </row>
    <row r="726" spans="11:11" x14ac:dyDescent="0.3">
      <c r="K726"/>
    </row>
    <row r="727" spans="11:11" x14ac:dyDescent="0.3">
      <c r="K727"/>
    </row>
    <row r="728" spans="11:11" x14ac:dyDescent="0.3">
      <c r="K728"/>
    </row>
    <row r="729" spans="11:11" x14ac:dyDescent="0.3">
      <c r="K729"/>
    </row>
    <row r="730" spans="11:11" x14ac:dyDescent="0.3">
      <c r="K730"/>
    </row>
    <row r="731" spans="11:11" x14ac:dyDescent="0.3">
      <c r="K731"/>
    </row>
    <row r="732" spans="11:11" x14ac:dyDescent="0.3">
      <c r="K732"/>
    </row>
    <row r="733" spans="11:11" x14ac:dyDescent="0.3">
      <c r="K733"/>
    </row>
    <row r="734" spans="11:11" x14ac:dyDescent="0.3">
      <c r="K734"/>
    </row>
    <row r="735" spans="11:11" x14ac:dyDescent="0.3">
      <c r="K735"/>
    </row>
    <row r="736" spans="11:11" x14ac:dyDescent="0.3">
      <c r="K736"/>
    </row>
    <row r="737" spans="11:11" x14ac:dyDescent="0.3">
      <c r="K737"/>
    </row>
    <row r="738" spans="11:11" x14ac:dyDescent="0.3">
      <c r="K738"/>
    </row>
    <row r="739" spans="11:11" x14ac:dyDescent="0.3">
      <c r="K739"/>
    </row>
    <row r="740" spans="11:11" x14ac:dyDescent="0.3">
      <c r="K740"/>
    </row>
    <row r="741" spans="11:11" x14ac:dyDescent="0.3">
      <c r="K741"/>
    </row>
    <row r="742" spans="11:11" x14ac:dyDescent="0.3">
      <c r="K742"/>
    </row>
    <row r="743" spans="11:11" x14ac:dyDescent="0.3">
      <c r="K743"/>
    </row>
    <row r="744" spans="11:11" x14ac:dyDescent="0.3">
      <c r="K744"/>
    </row>
    <row r="745" spans="11:11" x14ac:dyDescent="0.3">
      <c r="K745"/>
    </row>
    <row r="746" spans="11:11" x14ac:dyDescent="0.3">
      <c r="K746"/>
    </row>
    <row r="747" spans="11:11" x14ac:dyDescent="0.3">
      <c r="K747"/>
    </row>
    <row r="748" spans="11:11" x14ac:dyDescent="0.3">
      <c r="K748"/>
    </row>
    <row r="749" spans="11:11" x14ac:dyDescent="0.3">
      <c r="K749"/>
    </row>
    <row r="750" spans="11:11" x14ac:dyDescent="0.3">
      <c r="K750"/>
    </row>
    <row r="751" spans="11:11" x14ac:dyDescent="0.3">
      <c r="K751"/>
    </row>
    <row r="752" spans="11:11" x14ac:dyDescent="0.3">
      <c r="K752"/>
    </row>
    <row r="753" spans="11:11" x14ac:dyDescent="0.3">
      <c r="K753"/>
    </row>
    <row r="754" spans="11:11" x14ac:dyDescent="0.3">
      <c r="K754"/>
    </row>
    <row r="755" spans="11:11" x14ac:dyDescent="0.3">
      <c r="K755"/>
    </row>
    <row r="756" spans="11:11" x14ac:dyDescent="0.3">
      <c r="K756"/>
    </row>
    <row r="757" spans="11:11" x14ac:dyDescent="0.3">
      <c r="K757"/>
    </row>
    <row r="758" spans="11:11" x14ac:dyDescent="0.3">
      <c r="K758"/>
    </row>
    <row r="759" spans="11:11" x14ac:dyDescent="0.3">
      <c r="K759"/>
    </row>
    <row r="760" spans="11:11" x14ac:dyDescent="0.3">
      <c r="K760"/>
    </row>
    <row r="761" spans="11:11" x14ac:dyDescent="0.3">
      <c r="K761"/>
    </row>
    <row r="762" spans="11:11" x14ac:dyDescent="0.3">
      <c r="K762"/>
    </row>
    <row r="763" spans="11:11" x14ac:dyDescent="0.3">
      <c r="K763"/>
    </row>
    <row r="764" spans="11:11" x14ac:dyDescent="0.3">
      <c r="K764"/>
    </row>
    <row r="765" spans="11:11" x14ac:dyDescent="0.3">
      <c r="K765"/>
    </row>
    <row r="766" spans="11:11" x14ac:dyDescent="0.3">
      <c r="K766"/>
    </row>
    <row r="767" spans="11:11" x14ac:dyDescent="0.3">
      <c r="K767"/>
    </row>
    <row r="768" spans="11:11" x14ac:dyDescent="0.3">
      <c r="K768"/>
    </row>
    <row r="769" spans="11:11" x14ac:dyDescent="0.3">
      <c r="K769"/>
    </row>
    <row r="770" spans="11:11" x14ac:dyDescent="0.3">
      <c r="K770"/>
    </row>
    <row r="771" spans="11:11" x14ac:dyDescent="0.3">
      <c r="K771"/>
    </row>
    <row r="772" spans="11:11" x14ac:dyDescent="0.3">
      <c r="K772"/>
    </row>
    <row r="773" spans="11:11" x14ac:dyDescent="0.3">
      <c r="K773"/>
    </row>
    <row r="774" spans="11:11" x14ac:dyDescent="0.3">
      <c r="K774"/>
    </row>
    <row r="775" spans="11:11" x14ac:dyDescent="0.3">
      <c r="K775"/>
    </row>
    <row r="776" spans="11:11" x14ac:dyDescent="0.3">
      <c r="K776"/>
    </row>
    <row r="777" spans="11:11" x14ac:dyDescent="0.3">
      <c r="K777"/>
    </row>
    <row r="778" spans="11:11" x14ac:dyDescent="0.3">
      <c r="K778"/>
    </row>
    <row r="779" spans="11:11" x14ac:dyDescent="0.3">
      <c r="K779"/>
    </row>
    <row r="780" spans="11:11" x14ac:dyDescent="0.3">
      <c r="K780"/>
    </row>
    <row r="781" spans="11:11" x14ac:dyDescent="0.3">
      <c r="K781"/>
    </row>
    <row r="782" spans="11:11" x14ac:dyDescent="0.3">
      <c r="K782"/>
    </row>
    <row r="783" spans="11:11" x14ac:dyDescent="0.3">
      <c r="K783"/>
    </row>
    <row r="784" spans="11:11" x14ac:dyDescent="0.3">
      <c r="K784"/>
    </row>
    <row r="785" spans="11:11" x14ac:dyDescent="0.3">
      <c r="K785"/>
    </row>
    <row r="786" spans="11:11" x14ac:dyDescent="0.3">
      <c r="K786"/>
    </row>
    <row r="787" spans="11:11" x14ac:dyDescent="0.3">
      <c r="K787"/>
    </row>
    <row r="788" spans="11:11" x14ac:dyDescent="0.3">
      <c r="K788"/>
    </row>
    <row r="789" spans="11:11" x14ac:dyDescent="0.3">
      <c r="K789"/>
    </row>
    <row r="790" spans="11:11" x14ac:dyDescent="0.3">
      <c r="K790"/>
    </row>
    <row r="791" spans="11:11" x14ac:dyDescent="0.3">
      <c r="K791"/>
    </row>
    <row r="792" spans="11:11" x14ac:dyDescent="0.3">
      <c r="K792"/>
    </row>
    <row r="793" spans="11:11" x14ac:dyDescent="0.3">
      <c r="K793"/>
    </row>
    <row r="794" spans="11:11" x14ac:dyDescent="0.3">
      <c r="K794"/>
    </row>
    <row r="795" spans="11:11" x14ac:dyDescent="0.3">
      <c r="K795"/>
    </row>
    <row r="796" spans="11:11" x14ac:dyDescent="0.3">
      <c r="K796"/>
    </row>
    <row r="797" spans="11:11" x14ac:dyDescent="0.3">
      <c r="K797"/>
    </row>
    <row r="798" spans="11:11" x14ac:dyDescent="0.3">
      <c r="K798"/>
    </row>
    <row r="799" spans="11:11" x14ac:dyDescent="0.3">
      <c r="K799"/>
    </row>
    <row r="800" spans="11:11" x14ac:dyDescent="0.3">
      <c r="K800"/>
    </row>
    <row r="801" spans="11:11" x14ac:dyDescent="0.3">
      <c r="K801"/>
    </row>
    <row r="802" spans="11:11" x14ac:dyDescent="0.3">
      <c r="K802"/>
    </row>
    <row r="803" spans="11:11" x14ac:dyDescent="0.3">
      <c r="K803"/>
    </row>
    <row r="804" spans="11:11" x14ac:dyDescent="0.3">
      <c r="K804"/>
    </row>
    <row r="805" spans="11:11" x14ac:dyDescent="0.3">
      <c r="K805"/>
    </row>
    <row r="806" spans="11:11" x14ac:dyDescent="0.3">
      <c r="K806"/>
    </row>
    <row r="807" spans="11:11" x14ac:dyDescent="0.3">
      <c r="K807"/>
    </row>
    <row r="808" spans="11:11" x14ac:dyDescent="0.3">
      <c r="K808"/>
    </row>
    <row r="809" spans="11:11" x14ac:dyDescent="0.3">
      <c r="K809"/>
    </row>
    <row r="810" spans="11:11" x14ac:dyDescent="0.3">
      <c r="K810"/>
    </row>
    <row r="811" spans="11:11" x14ac:dyDescent="0.3">
      <c r="K811"/>
    </row>
    <row r="812" spans="11:11" x14ac:dyDescent="0.3">
      <c r="K812"/>
    </row>
    <row r="813" spans="11:11" x14ac:dyDescent="0.3">
      <c r="K813"/>
    </row>
    <row r="814" spans="11:11" x14ac:dyDescent="0.3">
      <c r="K814"/>
    </row>
    <row r="815" spans="11:11" x14ac:dyDescent="0.3">
      <c r="K815"/>
    </row>
    <row r="816" spans="11:11" x14ac:dyDescent="0.3">
      <c r="K816"/>
    </row>
    <row r="817" spans="11:11" x14ac:dyDescent="0.3">
      <c r="K817"/>
    </row>
    <row r="818" spans="11:11" x14ac:dyDescent="0.3">
      <c r="K818"/>
    </row>
    <row r="819" spans="11:11" x14ac:dyDescent="0.3">
      <c r="K819"/>
    </row>
    <row r="820" spans="11:11" x14ac:dyDescent="0.3">
      <c r="K820"/>
    </row>
    <row r="821" spans="11:11" x14ac:dyDescent="0.3">
      <c r="K821"/>
    </row>
    <row r="822" spans="11:11" x14ac:dyDescent="0.3">
      <c r="K822"/>
    </row>
    <row r="823" spans="11:11" x14ac:dyDescent="0.3">
      <c r="K823"/>
    </row>
    <row r="824" spans="11:11" x14ac:dyDescent="0.3">
      <c r="K824"/>
    </row>
    <row r="825" spans="11:11" x14ac:dyDescent="0.3">
      <c r="K825"/>
    </row>
    <row r="826" spans="11:11" x14ac:dyDescent="0.3">
      <c r="K826"/>
    </row>
    <row r="827" spans="11:11" x14ac:dyDescent="0.3">
      <c r="K827"/>
    </row>
    <row r="828" spans="11:11" x14ac:dyDescent="0.3">
      <c r="K828"/>
    </row>
    <row r="829" spans="11:11" x14ac:dyDescent="0.3">
      <c r="K829"/>
    </row>
    <row r="830" spans="11:11" x14ac:dyDescent="0.3">
      <c r="K830"/>
    </row>
    <row r="831" spans="11:11" x14ac:dyDescent="0.3">
      <c r="K831"/>
    </row>
    <row r="832" spans="11:11" x14ac:dyDescent="0.3">
      <c r="K832"/>
    </row>
    <row r="833" spans="11:11" x14ac:dyDescent="0.3">
      <c r="K833"/>
    </row>
    <row r="834" spans="11:11" x14ac:dyDescent="0.3">
      <c r="K834"/>
    </row>
    <row r="835" spans="11:11" x14ac:dyDescent="0.3">
      <c r="K835"/>
    </row>
    <row r="836" spans="11:11" x14ac:dyDescent="0.3">
      <c r="K836"/>
    </row>
    <row r="837" spans="11:11" x14ac:dyDescent="0.3">
      <c r="K837"/>
    </row>
    <row r="838" spans="11:11" x14ac:dyDescent="0.3">
      <c r="K838"/>
    </row>
    <row r="839" spans="11:11" x14ac:dyDescent="0.3">
      <c r="K839"/>
    </row>
    <row r="840" spans="11:11" x14ac:dyDescent="0.3">
      <c r="K840"/>
    </row>
    <row r="841" spans="11:11" x14ac:dyDescent="0.3">
      <c r="K841"/>
    </row>
    <row r="842" spans="11:11" x14ac:dyDescent="0.3">
      <c r="K842"/>
    </row>
    <row r="843" spans="11:11" x14ac:dyDescent="0.3">
      <c r="K843"/>
    </row>
    <row r="844" spans="11:11" x14ac:dyDescent="0.3">
      <c r="K844"/>
    </row>
    <row r="845" spans="11:11" x14ac:dyDescent="0.3">
      <c r="K845"/>
    </row>
    <row r="846" spans="11:11" x14ac:dyDescent="0.3">
      <c r="K846"/>
    </row>
    <row r="847" spans="11:11" x14ac:dyDescent="0.3">
      <c r="K847"/>
    </row>
    <row r="848" spans="11:11" x14ac:dyDescent="0.3">
      <c r="K848"/>
    </row>
    <row r="849" spans="11:11" x14ac:dyDescent="0.3">
      <c r="K849"/>
    </row>
    <row r="850" spans="11:11" x14ac:dyDescent="0.3">
      <c r="K850"/>
    </row>
    <row r="851" spans="11:11" x14ac:dyDescent="0.3">
      <c r="K851"/>
    </row>
    <row r="852" spans="11:11" x14ac:dyDescent="0.3">
      <c r="K852"/>
    </row>
    <row r="853" spans="11:11" x14ac:dyDescent="0.3">
      <c r="K853"/>
    </row>
    <row r="854" spans="11:11" x14ac:dyDescent="0.3">
      <c r="K854"/>
    </row>
    <row r="855" spans="11:11" x14ac:dyDescent="0.3">
      <c r="K855"/>
    </row>
    <row r="856" spans="11:11" x14ac:dyDescent="0.3">
      <c r="K856"/>
    </row>
    <row r="857" spans="11:11" x14ac:dyDescent="0.3">
      <c r="K857"/>
    </row>
    <row r="858" spans="11:11" x14ac:dyDescent="0.3">
      <c r="K858"/>
    </row>
    <row r="859" spans="11:11" x14ac:dyDescent="0.3">
      <c r="K859"/>
    </row>
    <row r="860" spans="11:11" x14ac:dyDescent="0.3">
      <c r="K860"/>
    </row>
    <row r="861" spans="11:11" x14ac:dyDescent="0.3">
      <c r="K861"/>
    </row>
    <row r="862" spans="11:11" x14ac:dyDescent="0.3">
      <c r="K862"/>
    </row>
    <row r="863" spans="11:11" x14ac:dyDescent="0.3">
      <c r="K863"/>
    </row>
    <row r="864" spans="11:11" x14ac:dyDescent="0.3">
      <c r="K864"/>
    </row>
    <row r="865" spans="11:11" x14ac:dyDescent="0.3">
      <c r="K865"/>
    </row>
    <row r="866" spans="11:11" x14ac:dyDescent="0.3">
      <c r="K866"/>
    </row>
    <row r="867" spans="11:11" x14ac:dyDescent="0.3">
      <c r="K867"/>
    </row>
    <row r="868" spans="11:11" x14ac:dyDescent="0.3">
      <c r="K868"/>
    </row>
    <row r="869" spans="11:11" x14ac:dyDescent="0.3">
      <c r="K869"/>
    </row>
    <row r="870" spans="11:11" x14ac:dyDescent="0.3">
      <c r="K870"/>
    </row>
    <row r="871" spans="11:11" x14ac:dyDescent="0.3">
      <c r="K871"/>
    </row>
    <row r="872" spans="11:11" x14ac:dyDescent="0.3">
      <c r="K872"/>
    </row>
    <row r="873" spans="11:11" x14ac:dyDescent="0.3">
      <c r="K873"/>
    </row>
    <row r="874" spans="11:11" x14ac:dyDescent="0.3">
      <c r="K874"/>
    </row>
    <row r="875" spans="11:11" x14ac:dyDescent="0.3">
      <c r="K875"/>
    </row>
    <row r="876" spans="11:11" x14ac:dyDescent="0.3">
      <c r="K876"/>
    </row>
    <row r="877" spans="11:11" x14ac:dyDescent="0.3">
      <c r="K877"/>
    </row>
    <row r="878" spans="11:11" x14ac:dyDescent="0.3">
      <c r="K878"/>
    </row>
    <row r="879" spans="11:11" x14ac:dyDescent="0.3">
      <c r="K879"/>
    </row>
    <row r="880" spans="11:11" x14ac:dyDescent="0.3">
      <c r="K880"/>
    </row>
    <row r="881" spans="11:11" x14ac:dyDescent="0.3">
      <c r="K881"/>
    </row>
    <row r="882" spans="11:11" x14ac:dyDescent="0.3">
      <c r="K882"/>
    </row>
    <row r="883" spans="11:11" x14ac:dyDescent="0.3">
      <c r="K883"/>
    </row>
    <row r="884" spans="11:11" x14ac:dyDescent="0.3">
      <c r="K884"/>
    </row>
    <row r="885" spans="11:11" x14ac:dyDescent="0.3">
      <c r="K885"/>
    </row>
    <row r="886" spans="11:11" x14ac:dyDescent="0.3">
      <c r="K886"/>
    </row>
    <row r="887" spans="11:11" x14ac:dyDescent="0.3">
      <c r="K887"/>
    </row>
    <row r="888" spans="11:11" x14ac:dyDescent="0.3">
      <c r="K888"/>
    </row>
    <row r="889" spans="11:11" x14ac:dyDescent="0.3">
      <c r="K889"/>
    </row>
    <row r="890" spans="11:11" x14ac:dyDescent="0.3">
      <c r="K890"/>
    </row>
    <row r="891" spans="11:11" x14ac:dyDescent="0.3">
      <c r="K891"/>
    </row>
    <row r="892" spans="11:11" x14ac:dyDescent="0.3">
      <c r="K892"/>
    </row>
    <row r="893" spans="11:11" x14ac:dyDescent="0.3">
      <c r="K893"/>
    </row>
    <row r="894" spans="11:11" x14ac:dyDescent="0.3">
      <c r="K894"/>
    </row>
    <row r="895" spans="11:11" x14ac:dyDescent="0.3">
      <c r="K895"/>
    </row>
    <row r="896" spans="11:11" x14ac:dyDescent="0.3">
      <c r="K896"/>
    </row>
    <row r="897" spans="11:11" x14ac:dyDescent="0.3">
      <c r="K897"/>
    </row>
    <row r="898" spans="11:11" x14ac:dyDescent="0.3">
      <c r="K898"/>
    </row>
    <row r="899" spans="11:11" x14ac:dyDescent="0.3">
      <c r="K899"/>
    </row>
    <row r="900" spans="11:11" x14ac:dyDescent="0.3">
      <c r="K900"/>
    </row>
    <row r="901" spans="11:11" x14ac:dyDescent="0.3">
      <c r="K901"/>
    </row>
    <row r="902" spans="11:11" x14ac:dyDescent="0.3">
      <c r="K902"/>
    </row>
    <row r="903" spans="11:11" x14ac:dyDescent="0.3">
      <c r="K903"/>
    </row>
    <row r="904" spans="11:11" x14ac:dyDescent="0.3">
      <c r="K904"/>
    </row>
    <row r="905" spans="11:11" x14ac:dyDescent="0.3">
      <c r="K905"/>
    </row>
    <row r="906" spans="11:11" x14ac:dyDescent="0.3">
      <c r="K906"/>
    </row>
    <row r="907" spans="11:11" x14ac:dyDescent="0.3">
      <c r="K907"/>
    </row>
    <row r="908" spans="11:11" x14ac:dyDescent="0.3">
      <c r="K908"/>
    </row>
    <row r="909" spans="11:11" x14ac:dyDescent="0.3">
      <c r="K909"/>
    </row>
    <row r="910" spans="11:11" x14ac:dyDescent="0.3">
      <c r="K910"/>
    </row>
    <row r="911" spans="11:11" x14ac:dyDescent="0.3">
      <c r="K911"/>
    </row>
    <row r="912" spans="11:11" x14ac:dyDescent="0.3">
      <c r="K912"/>
    </row>
    <row r="913" spans="11:11" x14ac:dyDescent="0.3">
      <c r="K913"/>
    </row>
    <row r="914" spans="11:11" x14ac:dyDescent="0.3">
      <c r="K914"/>
    </row>
    <row r="915" spans="11:11" x14ac:dyDescent="0.3">
      <c r="K915"/>
    </row>
    <row r="916" spans="11:11" x14ac:dyDescent="0.3">
      <c r="K916"/>
    </row>
    <row r="917" spans="11:11" x14ac:dyDescent="0.3">
      <c r="K917"/>
    </row>
    <row r="918" spans="11:11" x14ac:dyDescent="0.3">
      <c r="K918"/>
    </row>
    <row r="919" spans="11:11" x14ac:dyDescent="0.3">
      <c r="K919"/>
    </row>
    <row r="920" spans="11:11" x14ac:dyDescent="0.3">
      <c r="K920"/>
    </row>
    <row r="921" spans="11:11" x14ac:dyDescent="0.3">
      <c r="K921"/>
    </row>
    <row r="922" spans="11:11" x14ac:dyDescent="0.3">
      <c r="K922"/>
    </row>
    <row r="923" spans="11:11" x14ac:dyDescent="0.3">
      <c r="K923"/>
    </row>
    <row r="924" spans="11:11" x14ac:dyDescent="0.3">
      <c r="K924"/>
    </row>
    <row r="925" spans="11:11" x14ac:dyDescent="0.3">
      <c r="K925"/>
    </row>
    <row r="926" spans="11:11" x14ac:dyDescent="0.3">
      <c r="K926"/>
    </row>
    <row r="927" spans="11:11" x14ac:dyDescent="0.3">
      <c r="K927"/>
    </row>
    <row r="928" spans="11:11" x14ac:dyDescent="0.3">
      <c r="K928"/>
    </row>
    <row r="929" spans="11:11" x14ac:dyDescent="0.3">
      <c r="K929"/>
    </row>
    <row r="930" spans="11:11" x14ac:dyDescent="0.3">
      <c r="K930"/>
    </row>
    <row r="931" spans="11:11" x14ac:dyDescent="0.3">
      <c r="K931"/>
    </row>
    <row r="932" spans="11:11" x14ac:dyDescent="0.3">
      <c r="K932"/>
    </row>
    <row r="933" spans="11:11" x14ac:dyDescent="0.3">
      <c r="K933"/>
    </row>
    <row r="934" spans="11:11" x14ac:dyDescent="0.3">
      <c r="K934"/>
    </row>
    <row r="935" spans="11:11" x14ac:dyDescent="0.3">
      <c r="K935"/>
    </row>
    <row r="936" spans="11:11" x14ac:dyDescent="0.3">
      <c r="K936"/>
    </row>
    <row r="937" spans="11:11" x14ac:dyDescent="0.3">
      <c r="K937"/>
    </row>
    <row r="938" spans="11:11" x14ac:dyDescent="0.3">
      <c r="K938"/>
    </row>
    <row r="939" spans="11:11" x14ac:dyDescent="0.3">
      <c r="K939"/>
    </row>
    <row r="940" spans="11:11" x14ac:dyDescent="0.3">
      <c r="K940"/>
    </row>
    <row r="941" spans="11:11" x14ac:dyDescent="0.3">
      <c r="K941"/>
    </row>
    <row r="942" spans="11:11" x14ac:dyDescent="0.3">
      <c r="K942"/>
    </row>
    <row r="943" spans="11:11" x14ac:dyDescent="0.3">
      <c r="K943"/>
    </row>
    <row r="944" spans="11:11" x14ac:dyDescent="0.3">
      <c r="K944"/>
    </row>
    <row r="945" spans="11:11" x14ac:dyDescent="0.3">
      <c r="K945"/>
    </row>
    <row r="946" spans="11:11" x14ac:dyDescent="0.3">
      <c r="K946"/>
    </row>
    <row r="947" spans="11:11" x14ac:dyDescent="0.3">
      <c r="K947"/>
    </row>
    <row r="948" spans="11:11" x14ac:dyDescent="0.3">
      <c r="K948"/>
    </row>
    <row r="949" spans="11:11" x14ac:dyDescent="0.3">
      <c r="K949"/>
    </row>
    <row r="950" spans="11:11" x14ac:dyDescent="0.3">
      <c r="K950"/>
    </row>
    <row r="951" spans="11:11" x14ac:dyDescent="0.3">
      <c r="K951"/>
    </row>
    <row r="952" spans="11:11" x14ac:dyDescent="0.3">
      <c r="K952"/>
    </row>
    <row r="953" spans="11:11" x14ac:dyDescent="0.3">
      <c r="K953"/>
    </row>
    <row r="954" spans="11:11" x14ac:dyDescent="0.3">
      <c r="K954"/>
    </row>
    <row r="955" spans="11:11" x14ac:dyDescent="0.3">
      <c r="K955"/>
    </row>
    <row r="956" spans="11:11" x14ac:dyDescent="0.3">
      <c r="K956"/>
    </row>
    <row r="957" spans="11:11" x14ac:dyDescent="0.3">
      <c r="K957"/>
    </row>
    <row r="958" spans="11:11" x14ac:dyDescent="0.3">
      <c r="K958"/>
    </row>
    <row r="959" spans="11:11" x14ac:dyDescent="0.3">
      <c r="K959"/>
    </row>
    <row r="960" spans="11:11" x14ac:dyDescent="0.3">
      <c r="K960"/>
    </row>
    <row r="961" spans="11:11" x14ac:dyDescent="0.3">
      <c r="K961"/>
    </row>
    <row r="962" spans="11:11" x14ac:dyDescent="0.3">
      <c r="K962"/>
    </row>
    <row r="963" spans="11:11" x14ac:dyDescent="0.3">
      <c r="K963"/>
    </row>
    <row r="964" spans="11:11" x14ac:dyDescent="0.3">
      <c r="K964"/>
    </row>
    <row r="965" spans="11:11" x14ac:dyDescent="0.3">
      <c r="K965"/>
    </row>
    <row r="966" spans="11:11" x14ac:dyDescent="0.3">
      <c r="K966"/>
    </row>
    <row r="967" spans="11:11" x14ac:dyDescent="0.3">
      <c r="K967"/>
    </row>
    <row r="968" spans="11:11" x14ac:dyDescent="0.3">
      <c r="K968"/>
    </row>
    <row r="969" spans="11:11" x14ac:dyDescent="0.3">
      <c r="K969"/>
    </row>
    <row r="970" spans="11:11" x14ac:dyDescent="0.3">
      <c r="K970"/>
    </row>
    <row r="971" spans="11:11" x14ac:dyDescent="0.3">
      <c r="K971"/>
    </row>
    <row r="972" spans="11:11" x14ac:dyDescent="0.3">
      <c r="K972"/>
    </row>
    <row r="973" spans="11:11" x14ac:dyDescent="0.3">
      <c r="K973"/>
    </row>
    <row r="974" spans="11:11" x14ac:dyDescent="0.3">
      <c r="K974"/>
    </row>
    <row r="975" spans="11:11" x14ac:dyDescent="0.3">
      <c r="K975"/>
    </row>
    <row r="976" spans="11:11" x14ac:dyDescent="0.3">
      <c r="K976"/>
    </row>
    <row r="977" spans="11:11" x14ac:dyDescent="0.3">
      <c r="K977"/>
    </row>
    <row r="978" spans="11:11" x14ac:dyDescent="0.3">
      <c r="K978"/>
    </row>
    <row r="979" spans="11:11" x14ac:dyDescent="0.3">
      <c r="K979"/>
    </row>
    <row r="980" spans="11:11" x14ac:dyDescent="0.3">
      <c r="K980"/>
    </row>
    <row r="981" spans="11:11" x14ac:dyDescent="0.3">
      <c r="K981"/>
    </row>
    <row r="982" spans="11:11" x14ac:dyDescent="0.3">
      <c r="K982"/>
    </row>
    <row r="983" spans="11:11" x14ac:dyDescent="0.3">
      <c r="K983"/>
    </row>
    <row r="984" spans="11:11" x14ac:dyDescent="0.3">
      <c r="K984"/>
    </row>
    <row r="985" spans="11:11" x14ac:dyDescent="0.3">
      <c r="K985"/>
    </row>
    <row r="986" spans="11:11" x14ac:dyDescent="0.3">
      <c r="K986"/>
    </row>
    <row r="987" spans="11:11" x14ac:dyDescent="0.3">
      <c r="K987"/>
    </row>
    <row r="988" spans="11:11" x14ac:dyDescent="0.3">
      <c r="K988"/>
    </row>
  </sheetData>
  <autoFilter ref="A5:O360"/>
  <mergeCells count="58">
    <mergeCell ref="G263:I263"/>
    <mergeCell ref="C239:I239"/>
    <mergeCell ref="G240:I240"/>
    <mergeCell ref="G221:I221"/>
    <mergeCell ref="C260:I260"/>
    <mergeCell ref="C229:I229"/>
    <mergeCell ref="C250:I250"/>
    <mergeCell ref="G251:I251"/>
    <mergeCell ref="G231:I231"/>
    <mergeCell ref="A360:J360"/>
    <mergeCell ref="C359:I359"/>
    <mergeCell ref="C273:I273"/>
    <mergeCell ref="C290:I290"/>
    <mergeCell ref="C299:I299"/>
    <mergeCell ref="C312:I312"/>
    <mergeCell ref="C336:I336"/>
    <mergeCell ref="G338:I338"/>
    <mergeCell ref="C321:I321"/>
    <mergeCell ref="A3:A4"/>
    <mergeCell ref="B3:B4"/>
    <mergeCell ref="C3:C4"/>
    <mergeCell ref="D3:D4"/>
    <mergeCell ref="E3:E4"/>
    <mergeCell ref="F3:J3"/>
    <mergeCell ref="C6:I6"/>
    <mergeCell ref="C27:I27"/>
    <mergeCell ref="C31:I31"/>
    <mergeCell ref="C30:I30"/>
    <mergeCell ref="G29:I29"/>
    <mergeCell ref="B1:J1"/>
    <mergeCell ref="B2:J2"/>
    <mergeCell ref="C7:I7"/>
    <mergeCell ref="G9:I9"/>
    <mergeCell ref="G135:I135"/>
    <mergeCell ref="C49:I49"/>
    <mergeCell ref="C56:I56"/>
    <mergeCell ref="C63:I63"/>
    <mergeCell ref="C64:I64"/>
    <mergeCell ref="C71:I71"/>
    <mergeCell ref="C117:I117"/>
    <mergeCell ref="C133:I133"/>
    <mergeCell ref="C72:I72"/>
    <mergeCell ref="C84:I84"/>
    <mergeCell ref="C85:I85"/>
    <mergeCell ref="C102:I102"/>
    <mergeCell ref="C103:I103"/>
    <mergeCell ref="C116:I116"/>
    <mergeCell ref="C214:I214"/>
    <mergeCell ref="G215:I215"/>
    <mergeCell ref="C220:I220"/>
    <mergeCell ref="C176:I176"/>
    <mergeCell ref="C201:I201"/>
    <mergeCell ref="G177:I177"/>
    <mergeCell ref="G203:I203"/>
    <mergeCell ref="G144:I144"/>
    <mergeCell ref="C142:I142"/>
    <mergeCell ref="C153:I153"/>
    <mergeCell ref="G155:I155"/>
  </mergeCells>
  <pageMargins left="0.52" right="0.36" top="0.55000000000000004" bottom="0.36" header="0.3" footer="0.3"/>
  <pageSetup paperSize="9"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foxz</vt:lpstr>
      <vt:lpstr>Toàn bộ</vt:lpstr>
      <vt:lpstr>Phu Thuong</vt:lpstr>
      <vt:lpstr>Vy Da</vt:lpstr>
      <vt:lpstr>'Phu Thuong'!Print_Area</vt:lpstr>
      <vt:lpstr>'Toàn bộ'!Print_Area</vt:lpstr>
      <vt:lpstr>'Vy Da'!Print_Area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2023-07-18T06:54:16Z</dcterms:modified>
</cp:coreProperties>
</file>